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activeTab="0"/>
  </bookViews>
  <sheets>
    <sheet name="přední" sheetId="1" r:id="rId1"/>
    <sheet name="zadek" sheetId="2" r:id="rId2"/>
    <sheet name="DV-IDENTITY-0" sheetId="3" state="veryHidden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<sst xmlns="http://schemas.openxmlformats.org/spreadsheetml/2006/main" count="95" uniqueCount="43">
  <si>
    <t>ČESKÝ  TENISOVÝ  SVAZ</t>
  </si>
  <si>
    <t>ZÁPIS O UTKÁNÍ DRUŽSTEV V TENISU</t>
  </si>
  <si>
    <t>DOMÁCÍ</t>
  </si>
  <si>
    <t xml:space="preserve"> </t>
  </si>
  <si>
    <t xml:space="preserve">    Název soutěže:</t>
  </si>
  <si>
    <t xml:space="preserve">    Věková kategorie:</t>
  </si>
  <si>
    <t>HOSTÉ</t>
  </si>
  <si>
    <t xml:space="preserve">    Datum:</t>
  </si>
  <si>
    <t xml:space="preserve">    Místo konání:</t>
  </si>
  <si>
    <t>Jednotlivé zápasy v pořadí stanoveném soutěžním řádem</t>
  </si>
  <si>
    <t>ZÁPAS Č.</t>
  </si>
  <si>
    <t>D O M Á C Í</t>
  </si>
  <si>
    <t>H O S T É</t>
  </si>
  <si>
    <t>VÝSLEDKY                           SAD</t>
  </si>
  <si>
    <t>HRY</t>
  </si>
  <si>
    <t>SADY</t>
  </si>
  <si>
    <t>BODY</t>
  </si>
  <si>
    <t>Jméno</t>
  </si>
  <si>
    <t>BH</t>
  </si>
  <si>
    <t>I.</t>
  </si>
  <si>
    <t>II.</t>
  </si>
  <si>
    <t>III.</t>
  </si>
  <si>
    <t>D</t>
  </si>
  <si>
    <t>H</t>
  </si>
  <si>
    <t>:</t>
  </si>
  <si>
    <t>VÍTĚZ</t>
  </si>
  <si>
    <t>Body</t>
  </si>
  <si>
    <t>Sady</t>
  </si>
  <si>
    <t>Hry</t>
  </si>
  <si>
    <t>Kapitáni družstev</t>
  </si>
  <si>
    <t>podpis</t>
  </si>
  <si>
    <t xml:space="preserve">  Rozhodčí utkání</t>
  </si>
  <si>
    <t xml:space="preserve">  podpis</t>
  </si>
  <si>
    <t>VRCHNÍ</t>
  </si>
  <si>
    <t>HLAVNÍ</t>
  </si>
  <si>
    <t>SDĚLENÍ KAPITÁNŮ DRUŽSTEV A VRCHNÍHO ROZHODČÍHO UTKÁNÍ</t>
  </si>
  <si>
    <t xml:space="preserve">     Kapitán domácích:</t>
  </si>
  <si>
    <t>_______________________</t>
  </si>
  <si>
    <t xml:space="preserve">        podpis</t>
  </si>
  <si>
    <t xml:space="preserve">     Kapitán hostů:</t>
  </si>
  <si>
    <t xml:space="preserve">     Vrchní rozhodčí:</t>
  </si>
  <si>
    <t>Tenis1</t>
  </si>
  <si>
    <t>Tenis2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</si>
</sst>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8"/>
      <name val="Arial Narrow"/>
      <family val="2"/>
    </font>
    <font>
      <sz val="2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0"/>
    </font>
    <font>
      <sz val="11"/>
      <name val="Arial CE"/>
      <family val="2"/>
    </font>
    <font>
      <b/>
      <sz val="12"/>
      <name val="Arial CE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 vertic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1" fontId="0" fillId="0" borderId="12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27" xfId="0" applyFont="1" applyBorder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left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38100</xdr:rowOff>
    </xdr:from>
    <xdr:to>
      <xdr:col>5</xdr:col>
      <xdr:colOff>19050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B33"/>
  <sheetViews>
    <sheetView tabSelected="1" zoomScalePageLayoutView="0" workbookViewId="0" topLeftCell="A1">
      <selection activeCell="W28" sqref="W28:Z28"/>
    </sheetView>
  </sheetViews>
  <sheetFormatPr defaultColWidth="9.140625" defaultRowHeight="12.75"/>
  <cols>
    <col min="1" max="1" width="0.13671875" style="0" customWidth="1"/>
    <col min="2" max="2" width="3.8515625" style="0" customWidth="1"/>
    <col min="3" max="3" width="1.1484375" style="0" customWidth="1"/>
    <col min="4" max="4" width="9.57421875" style="0" customWidth="1"/>
    <col min="5" max="5" width="11.00390625" style="0" customWidth="1"/>
    <col min="6" max="6" width="5.28125" style="0" customWidth="1"/>
    <col min="7" max="7" width="7.421875" style="0" customWidth="1"/>
    <col min="8" max="8" width="4.140625" style="0" customWidth="1"/>
    <col min="9" max="9" width="3.140625" style="0" customWidth="1"/>
    <col min="10" max="10" width="9.00390625" style="0" customWidth="1"/>
    <col min="11" max="11" width="5.28125" style="0" customWidth="1"/>
    <col min="12" max="12" width="2.57421875" style="0" customWidth="1"/>
    <col min="13" max="13" width="0.85546875" style="3" customWidth="1"/>
    <col min="14" max="15" width="2.57421875" style="0" customWidth="1"/>
    <col min="16" max="16" width="0.85546875" style="3" customWidth="1"/>
    <col min="17" max="18" width="2.57421875" style="0" customWidth="1"/>
    <col min="19" max="19" width="0.85546875" style="3" customWidth="1"/>
    <col min="20" max="20" width="2.57421875" style="0" customWidth="1"/>
    <col min="21" max="26" width="3.7109375" style="0" customWidth="1"/>
    <col min="27" max="27" width="0.71875" style="0" customWidth="1"/>
    <col min="28" max="28" width="11.421875" style="0" bestFit="1" customWidth="1"/>
  </cols>
  <sheetData>
    <row r="1" ht="12.75"/>
    <row r="2" spans="8:10" ht="23.25">
      <c r="H2" s="1"/>
      <c r="J2" s="2" t="s">
        <v>0</v>
      </c>
    </row>
    <row r="3" ht="12.75"/>
    <row r="4" ht="31.5">
      <c r="J4" s="4" t="s">
        <v>1</v>
      </c>
    </row>
    <row r="7" spans="2:27" ht="30" customHeight="1">
      <c r="B7" s="59" t="s">
        <v>2</v>
      </c>
      <c r="C7" s="60"/>
      <c r="D7" s="63" t="s">
        <v>41</v>
      </c>
      <c r="E7" s="64"/>
      <c r="F7" s="64"/>
      <c r="G7" s="65"/>
      <c r="J7" s="5" t="s">
        <v>3</v>
      </c>
      <c r="K7" s="6" t="s">
        <v>4</v>
      </c>
      <c r="L7" s="7"/>
      <c r="M7" s="7"/>
      <c r="N7" s="7"/>
      <c r="O7" s="7"/>
      <c r="P7" s="7"/>
      <c r="Q7" s="7"/>
      <c r="R7" s="56" t="s">
        <v>3</v>
      </c>
      <c r="S7" s="56"/>
      <c r="T7" s="56"/>
      <c r="U7" s="56"/>
      <c r="V7" s="56"/>
      <c r="W7" s="56"/>
      <c r="X7" s="56"/>
      <c r="Y7" s="56"/>
      <c r="Z7" s="57"/>
      <c r="AA7" s="3"/>
    </row>
    <row r="8" spans="2:27" ht="30" customHeight="1">
      <c r="B8" s="61"/>
      <c r="C8" s="62"/>
      <c r="D8" s="66"/>
      <c r="E8" s="67"/>
      <c r="F8" s="67"/>
      <c r="G8" s="68"/>
      <c r="K8" s="6" t="s">
        <v>5</v>
      </c>
      <c r="L8" s="7"/>
      <c r="M8" s="7"/>
      <c r="N8" s="7"/>
      <c r="O8" s="7"/>
      <c r="P8" s="7"/>
      <c r="Q8" s="7"/>
      <c r="R8" s="56" t="s">
        <v>3</v>
      </c>
      <c r="S8" s="56"/>
      <c r="T8" s="56"/>
      <c r="U8" s="56"/>
      <c r="V8" s="56"/>
      <c r="W8" s="56"/>
      <c r="X8" s="56"/>
      <c r="Y8" s="56"/>
      <c r="Z8" s="57"/>
      <c r="AA8" s="3"/>
    </row>
    <row r="9" spans="2:27" ht="30" customHeight="1">
      <c r="B9" s="59" t="s">
        <v>6</v>
      </c>
      <c r="C9" s="60"/>
      <c r="D9" s="69" t="s">
        <v>42</v>
      </c>
      <c r="E9" s="70"/>
      <c r="F9" s="70"/>
      <c r="G9" s="71"/>
      <c r="K9" s="75" t="s">
        <v>7</v>
      </c>
      <c r="L9" s="76"/>
      <c r="M9" s="76"/>
      <c r="N9" s="76"/>
      <c r="O9" s="76"/>
      <c r="P9" s="8"/>
      <c r="Q9" s="8"/>
      <c r="R9" s="84" t="s">
        <v>3</v>
      </c>
      <c r="S9" s="84"/>
      <c r="T9" s="84"/>
      <c r="U9" s="84"/>
      <c r="V9" s="84"/>
      <c r="W9" s="84"/>
      <c r="X9" s="84"/>
      <c r="Y9" s="84"/>
      <c r="Z9" s="85"/>
      <c r="AA9" s="3"/>
    </row>
    <row r="10" spans="2:27" ht="30" customHeight="1">
      <c r="B10" s="61"/>
      <c r="C10" s="62"/>
      <c r="D10" s="72"/>
      <c r="E10" s="73"/>
      <c r="F10" s="73"/>
      <c r="G10" s="74"/>
      <c r="K10" s="9" t="s">
        <v>8</v>
      </c>
      <c r="L10" s="10"/>
      <c r="M10" s="10"/>
      <c r="N10" s="10"/>
      <c r="O10" s="10"/>
      <c r="P10" s="10"/>
      <c r="Q10" s="10"/>
      <c r="R10" s="56" t="s">
        <v>3</v>
      </c>
      <c r="S10" s="56"/>
      <c r="T10" s="56"/>
      <c r="U10" s="56"/>
      <c r="V10" s="56"/>
      <c r="W10" s="56"/>
      <c r="X10" s="56"/>
      <c r="Y10" s="56"/>
      <c r="Z10" s="57"/>
      <c r="AA10" s="3"/>
    </row>
    <row r="11" ht="23.25" customHeight="1">
      <c r="D11" s="40" t="s">
        <v>3</v>
      </c>
    </row>
    <row r="12" ht="15" customHeight="1">
      <c r="J12" s="11" t="s">
        <v>9</v>
      </c>
    </row>
    <row r="13" ht="7.5" customHeight="1"/>
    <row r="14" spans="2:27" ht="51" customHeight="1">
      <c r="B14" s="12" t="s">
        <v>10</v>
      </c>
      <c r="C14" s="58" t="s">
        <v>11</v>
      </c>
      <c r="D14" s="58"/>
      <c r="E14" s="58"/>
      <c r="F14" s="58"/>
      <c r="G14" s="86" t="s">
        <v>12</v>
      </c>
      <c r="H14" s="87"/>
      <c r="I14" s="87"/>
      <c r="J14" s="87"/>
      <c r="K14" s="88"/>
      <c r="L14" s="89" t="s">
        <v>13</v>
      </c>
      <c r="M14" s="90"/>
      <c r="N14" s="90"/>
      <c r="O14" s="90"/>
      <c r="P14" s="90"/>
      <c r="Q14" s="90"/>
      <c r="R14" s="90"/>
      <c r="S14" s="90"/>
      <c r="T14" s="91"/>
      <c r="U14" s="58" t="s">
        <v>14</v>
      </c>
      <c r="V14" s="58"/>
      <c r="W14" s="58" t="s">
        <v>15</v>
      </c>
      <c r="X14" s="58"/>
      <c r="Y14" s="58" t="s">
        <v>16</v>
      </c>
      <c r="Z14" s="58"/>
      <c r="AA14" s="3"/>
    </row>
    <row r="15" spans="2:27" ht="21" customHeight="1" thickBot="1">
      <c r="B15" s="13"/>
      <c r="C15" s="14"/>
      <c r="D15" s="92" t="s">
        <v>17</v>
      </c>
      <c r="E15" s="93"/>
      <c r="F15" s="15" t="s">
        <v>18</v>
      </c>
      <c r="G15" s="94" t="s">
        <v>17</v>
      </c>
      <c r="H15" s="95"/>
      <c r="I15" s="95"/>
      <c r="J15" s="92"/>
      <c r="K15" s="15" t="s">
        <v>18</v>
      </c>
      <c r="L15" s="77" t="s">
        <v>19</v>
      </c>
      <c r="M15" s="78"/>
      <c r="N15" s="79"/>
      <c r="O15" s="77" t="s">
        <v>20</v>
      </c>
      <c r="P15" s="78"/>
      <c r="Q15" s="79"/>
      <c r="R15" s="77" t="s">
        <v>21</v>
      </c>
      <c r="S15" s="78"/>
      <c r="T15" s="79"/>
      <c r="U15" s="16" t="s">
        <v>22</v>
      </c>
      <c r="V15" s="16" t="s">
        <v>23</v>
      </c>
      <c r="W15" s="16" t="s">
        <v>22</v>
      </c>
      <c r="X15" s="16" t="s">
        <v>23</v>
      </c>
      <c r="Y15" s="16" t="s">
        <v>22</v>
      </c>
      <c r="Z15" s="16" t="s">
        <v>23</v>
      </c>
      <c r="AA15" s="3"/>
    </row>
    <row r="16" spans="2:28" ht="27" customHeight="1" thickTop="1">
      <c r="B16" s="17">
        <v>1</v>
      </c>
      <c r="C16" s="80"/>
      <c r="D16" s="81"/>
      <c r="E16" s="81"/>
      <c r="F16" s="18"/>
      <c r="G16" s="82"/>
      <c r="H16" s="83"/>
      <c r="I16" s="83"/>
      <c r="J16" s="83"/>
      <c r="K16" s="17"/>
      <c r="L16" s="49"/>
      <c r="M16" s="36" t="s">
        <v>24</v>
      </c>
      <c r="N16" s="52"/>
      <c r="O16" s="49"/>
      <c r="P16" s="36" t="s">
        <v>24</v>
      </c>
      <c r="Q16" s="52"/>
      <c r="R16" s="49"/>
      <c r="S16" s="36" t="s">
        <v>24</v>
      </c>
      <c r="T16" s="55"/>
      <c r="U16" s="19">
        <f>(O16+R16+L16)</f>
        <v>0</v>
      </c>
      <c r="V16" s="19">
        <f aca="true" t="shared" si="0" ref="V16:V24">N16+Q16+T16</f>
        <v>0</v>
      </c>
      <c r="W16" s="19">
        <f aca="true" t="shared" si="1" ref="W16:W24">IF(L16&gt;N16,1,0)+IF(O16&gt;Q16,1,0)+IF(R16&gt;T16,1,0)</f>
        <v>0</v>
      </c>
      <c r="X16" s="19">
        <f aca="true" t="shared" si="2" ref="X16:X24">IF(N16&gt;L16,1,0)+IF(Q16&gt;O16,1,0)+IF(T16&gt;R16,1,0)</f>
        <v>0</v>
      </c>
      <c r="Y16" s="19">
        <f aca="true" t="shared" si="3" ref="Y16:Y24">IF(W16&gt;X16,1,0)</f>
        <v>0</v>
      </c>
      <c r="Z16" s="19">
        <f aca="true" t="shared" si="4" ref="Z16:Z24">IF(X16&gt;W16,1,0)</f>
        <v>0</v>
      </c>
      <c r="AA16" s="3"/>
      <c r="AB16" s="20"/>
    </row>
    <row r="17" spans="2:27" ht="27" customHeight="1">
      <c r="B17" s="18">
        <v>2</v>
      </c>
      <c r="C17" s="80"/>
      <c r="D17" s="81"/>
      <c r="E17" s="81"/>
      <c r="F17" s="18"/>
      <c r="G17" s="80"/>
      <c r="H17" s="81"/>
      <c r="I17" s="81"/>
      <c r="J17" s="81"/>
      <c r="K17" s="18"/>
      <c r="L17" s="50"/>
      <c r="M17" s="36" t="s">
        <v>24</v>
      </c>
      <c r="N17" s="53"/>
      <c r="O17" s="50"/>
      <c r="P17" s="36" t="s">
        <v>24</v>
      </c>
      <c r="Q17" s="53"/>
      <c r="R17" s="51"/>
      <c r="S17" s="36" t="s">
        <v>24</v>
      </c>
      <c r="T17" s="54"/>
      <c r="U17" s="19">
        <f aca="true" t="shared" si="5" ref="U17:U24">L17+O17+R17</f>
        <v>0</v>
      </c>
      <c r="V17" s="19">
        <f t="shared" si="0"/>
        <v>0</v>
      </c>
      <c r="W17" s="19">
        <f t="shared" si="1"/>
        <v>0</v>
      </c>
      <c r="X17" s="19">
        <f t="shared" si="2"/>
        <v>0</v>
      </c>
      <c r="Y17" s="19">
        <f t="shared" si="3"/>
        <v>0</v>
      </c>
      <c r="Z17" s="19">
        <f t="shared" si="4"/>
        <v>0</v>
      </c>
      <c r="AA17" s="3"/>
    </row>
    <row r="18" spans="2:27" ht="27" customHeight="1">
      <c r="B18" s="18">
        <v>3</v>
      </c>
      <c r="C18" s="80"/>
      <c r="D18" s="81"/>
      <c r="E18" s="81"/>
      <c r="F18" s="18"/>
      <c r="G18" s="80"/>
      <c r="H18" s="81"/>
      <c r="I18" s="81"/>
      <c r="J18" s="81"/>
      <c r="K18" s="18"/>
      <c r="L18" s="50"/>
      <c r="M18" s="36" t="s">
        <v>24</v>
      </c>
      <c r="N18" s="53"/>
      <c r="O18" s="50"/>
      <c r="P18" s="36" t="s">
        <v>24</v>
      </c>
      <c r="Q18" s="53"/>
      <c r="R18" s="50"/>
      <c r="S18" s="36" t="s">
        <v>24</v>
      </c>
      <c r="T18" s="53"/>
      <c r="U18" s="19">
        <f t="shared" si="5"/>
        <v>0</v>
      </c>
      <c r="V18" s="19">
        <f t="shared" si="0"/>
        <v>0</v>
      </c>
      <c r="W18" s="19">
        <f t="shared" si="1"/>
        <v>0</v>
      </c>
      <c r="X18" s="19">
        <f t="shared" si="2"/>
        <v>0</v>
      </c>
      <c r="Y18" s="19">
        <f t="shared" si="3"/>
        <v>0</v>
      </c>
      <c r="Z18" s="19">
        <f t="shared" si="4"/>
        <v>0</v>
      </c>
      <c r="AA18" s="3"/>
    </row>
    <row r="19" spans="2:27" ht="27" customHeight="1">
      <c r="B19" s="18">
        <v>4</v>
      </c>
      <c r="C19" s="82"/>
      <c r="D19" s="83"/>
      <c r="E19" s="83"/>
      <c r="F19" s="17"/>
      <c r="G19" s="80"/>
      <c r="H19" s="81"/>
      <c r="I19" s="81"/>
      <c r="J19" s="81"/>
      <c r="K19" s="18"/>
      <c r="L19" s="50"/>
      <c r="M19" s="36" t="s">
        <v>24</v>
      </c>
      <c r="N19" s="53"/>
      <c r="O19" s="50"/>
      <c r="P19" s="36" t="s">
        <v>24</v>
      </c>
      <c r="Q19" s="53"/>
      <c r="R19" s="51"/>
      <c r="S19" s="36" t="s">
        <v>24</v>
      </c>
      <c r="T19" s="54"/>
      <c r="U19" s="19">
        <f t="shared" si="5"/>
        <v>0</v>
      </c>
      <c r="V19" s="19">
        <f t="shared" si="0"/>
        <v>0</v>
      </c>
      <c r="W19" s="19">
        <f t="shared" si="1"/>
        <v>0</v>
      </c>
      <c r="X19" s="19">
        <f t="shared" si="2"/>
        <v>0</v>
      </c>
      <c r="Y19" s="19">
        <f t="shared" si="3"/>
        <v>0</v>
      </c>
      <c r="Z19" s="19">
        <f t="shared" si="4"/>
        <v>0</v>
      </c>
      <c r="AA19" s="3"/>
    </row>
    <row r="20" spans="2:27" ht="27" customHeight="1">
      <c r="B20" s="18">
        <v>5</v>
      </c>
      <c r="C20" s="80"/>
      <c r="D20" s="81"/>
      <c r="E20" s="81"/>
      <c r="F20" s="18"/>
      <c r="G20" s="98"/>
      <c r="H20" s="99"/>
      <c r="I20" s="99"/>
      <c r="J20" s="99"/>
      <c r="K20" s="21"/>
      <c r="L20" s="50"/>
      <c r="M20" s="36" t="s">
        <v>24</v>
      </c>
      <c r="N20" s="53"/>
      <c r="O20" s="50"/>
      <c r="P20" s="36" t="s">
        <v>24</v>
      </c>
      <c r="Q20" s="53"/>
      <c r="R20" s="50"/>
      <c r="S20" s="36" t="s">
        <v>24</v>
      </c>
      <c r="T20" s="53"/>
      <c r="U20" s="19">
        <f t="shared" si="5"/>
        <v>0</v>
      </c>
      <c r="V20" s="19">
        <f t="shared" si="0"/>
        <v>0</v>
      </c>
      <c r="W20" s="19">
        <f t="shared" si="1"/>
        <v>0</v>
      </c>
      <c r="X20" s="19">
        <f t="shared" si="2"/>
        <v>0</v>
      </c>
      <c r="Y20" s="19">
        <f t="shared" si="3"/>
        <v>0</v>
      </c>
      <c r="Z20" s="19">
        <f t="shared" si="4"/>
        <v>0</v>
      </c>
      <c r="AA20" s="3"/>
    </row>
    <row r="21" spans="2:27" ht="27" customHeight="1">
      <c r="B21" s="18">
        <v>6</v>
      </c>
      <c r="C21" s="82"/>
      <c r="D21" s="83"/>
      <c r="E21" s="83"/>
      <c r="F21" s="37"/>
      <c r="G21" s="98"/>
      <c r="H21" s="99"/>
      <c r="I21" s="99"/>
      <c r="J21" s="99"/>
      <c r="K21" s="21"/>
      <c r="L21" s="50"/>
      <c r="M21" s="36" t="s">
        <v>24</v>
      </c>
      <c r="N21" s="53"/>
      <c r="O21" s="50"/>
      <c r="P21" s="36" t="s">
        <v>24</v>
      </c>
      <c r="Q21" s="53"/>
      <c r="R21" s="51"/>
      <c r="S21" s="36" t="s">
        <v>24</v>
      </c>
      <c r="T21" s="54"/>
      <c r="U21" s="19">
        <f t="shared" si="5"/>
        <v>0</v>
      </c>
      <c r="V21" s="19">
        <f t="shared" si="0"/>
        <v>0</v>
      </c>
      <c r="W21" s="19">
        <f t="shared" si="1"/>
        <v>0</v>
      </c>
      <c r="X21" s="19">
        <f t="shared" si="2"/>
        <v>0</v>
      </c>
      <c r="Y21" s="19">
        <f t="shared" si="3"/>
        <v>0</v>
      </c>
      <c r="Z21" s="19">
        <f t="shared" si="4"/>
        <v>0</v>
      </c>
      <c r="AA21" s="3"/>
    </row>
    <row r="22" spans="2:27" ht="27" customHeight="1">
      <c r="B22" s="18">
        <v>7</v>
      </c>
      <c r="C22" s="100"/>
      <c r="D22" s="101"/>
      <c r="E22" s="102"/>
      <c r="F22" s="38"/>
      <c r="G22" s="100"/>
      <c r="H22" s="101"/>
      <c r="I22" s="101"/>
      <c r="J22" s="102"/>
      <c r="K22" s="38"/>
      <c r="L22" s="50"/>
      <c r="M22" s="36" t="s">
        <v>24</v>
      </c>
      <c r="N22" s="53"/>
      <c r="O22" s="50"/>
      <c r="P22" s="36" t="s">
        <v>24</v>
      </c>
      <c r="Q22" s="53"/>
      <c r="R22" s="51"/>
      <c r="S22" s="36" t="s">
        <v>24</v>
      </c>
      <c r="T22" s="54"/>
      <c r="U22" s="19">
        <f t="shared" si="5"/>
        <v>0</v>
      </c>
      <c r="V22" s="19">
        <f t="shared" si="0"/>
        <v>0</v>
      </c>
      <c r="W22" s="19">
        <f t="shared" si="1"/>
        <v>0</v>
      </c>
      <c r="X22" s="19">
        <f t="shared" si="2"/>
        <v>0</v>
      </c>
      <c r="Y22" s="19">
        <f t="shared" si="3"/>
        <v>0</v>
      </c>
      <c r="Z22" s="19">
        <f t="shared" si="4"/>
        <v>0</v>
      </c>
      <c r="AA22" s="3"/>
    </row>
    <row r="23" spans="2:27" ht="27" customHeight="1">
      <c r="B23" s="18">
        <v>8</v>
      </c>
      <c r="C23" s="100"/>
      <c r="D23" s="101"/>
      <c r="E23" s="102"/>
      <c r="F23" s="39"/>
      <c r="G23" s="100"/>
      <c r="H23" s="101"/>
      <c r="I23" s="101"/>
      <c r="J23" s="102"/>
      <c r="K23" s="39"/>
      <c r="L23" s="51"/>
      <c r="M23" s="36" t="s">
        <v>24</v>
      </c>
      <c r="N23" s="54"/>
      <c r="O23" s="51"/>
      <c r="P23" s="36" t="s">
        <v>24</v>
      </c>
      <c r="Q23" s="54"/>
      <c r="R23" s="51"/>
      <c r="S23" s="36" t="s">
        <v>24</v>
      </c>
      <c r="T23" s="54"/>
      <c r="U23" s="19">
        <f t="shared" si="5"/>
        <v>0</v>
      </c>
      <c r="V23" s="19">
        <f t="shared" si="0"/>
        <v>0</v>
      </c>
      <c r="W23" s="19">
        <f t="shared" si="1"/>
        <v>0</v>
      </c>
      <c r="X23" s="19">
        <f t="shared" si="2"/>
        <v>0</v>
      </c>
      <c r="Y23" s="19">
        <f t="shared" si="3"/>
        <v>0</v>
      </c>
      <c r="Z23" s="19">
        <f t="shared" si="4"/>
        <v>0</v>
      </c>
      <c r="AA23" s="3"/>
    </row>
    <row r="24" spans="2:27" ht="27" customHeight="1">
      <c r="B24" s="18">
        <v>9</v>
      </c>
      <c r="C24" s="100"/>
      <c r="D24" s="101"/>
      <c r="E24" s="102"/>
      <c r="F24" s="39"/>
      <c r="G24" s="100"/>
      <c r="H24" s="101"/>
      <c r="I24" s="101"/>
      <c r="J24" s="102"/>
      <c r="K24" s="39"/>
      <c r="L24" s="50"/>
      <c r="M24" s="36" t="s">
        <v>24</v>
      </c>
      <c r="N24" s="53"/>
      <c r="O24" s="50"/>
      <c r="P24" s="36" t="s">
        <v>24</v>
      </c>
      <c r="Q24" s="53"/>
      <c r="R24" s="50"/>
      <c r="S24" s="36" t="s">
        <v>24</v>
      </c>
      <c r="T24" s="53"/>
      <c r="U24" s="19">
        <f t="shared" si="5"/>
        <v>0</v>
      </c>
      <c r="V24" s="19">
        <f t="shared" si="0"/>
        <v>0</v>
      </c>
      <c r="W24" s="19">
        <f t="shared" si="1"/>
        <v>0</v>
      </c>
      <c r="X24" s="19">
        <f t="shared" si="2"/>
        <v>0</v>
      </c>
      <c r="Y24" s="19">
        <f t="shared" si="3"/>
        <v>0</v>
      </c>
      <c r="Z24" s="19">
        <f t="shared" si="4"/>
        <v>0</v>
      </c>
      <c r="AA24" s="3"/>
    </row>
    <row r="25" spans="6:26" ht="18" customHeight="1">
      <c r="F25" s="41"/>
      <c r="G25" s="41" t="s">
        <v>24</v>
      </c>
      <c r="H25" s="41"/>
      <c r="I25" s="41"/>
      <c r="J25" s="41"/>
      <c r="K25" s="41"/>
      <c r="U25" s="42">
        <f aca="true" t="shared" si="6" ref="U25:Z25">SUM(U16:U24)</f>
        <v>0</v>
      </c>
      <c r="V25" s="42">
        <f t="shared" si="6"/>
        <v>0</v>
      </c>
      <c r="W25" s="42">
        <f t="shared" si="6"/>
        <v>0</v>
      </c>
      <c r="X25" s="42">
        <f t="shared" si="6"/>
        <v>0</v>
      </c>
      <c r="Y25" s="42">
        <f t="shared" si="6"/>
        <v>0</v>
      </c>
      <c r="Z25" s="42">
        <f t="shared" si="6"/>
        <v>0</v>
      </c>
    </row>
    <row r="26" spans="3:25" ht="12.75" customHeight="1">
      <c r="C26" s="107" t="s">
        <v>25</v>
      </c>
      <c r="D26" s="107"/>
      <c r="E26" s="107"/>
      <c r="F26" s="42" t="str">
        <f>CONCATENATE(U25,G25,V25)</f>
        <v>0:0</v>
      </c>
      <c r="G26" s="42" t="str">
        <f>CONCATENATE(V25,$G$25,U25)</f>
        <v>0:0</v>
      </c>
      <c r="H26" s="42" t="str">
        <f>CONCATENATE(W25,$G$25,X25)</f>
        <v>0:0</v>
      </c>
      <c r="I26" s="42" t="str">
        <f>CONCATENATE(X25,$G$25,W25)</f>
        <v>0:0</v>
      </c>
      <c r="J26" s="42" t="str">
        <f>CONCATENATE(Y25,$G$25,Z25)</f>
        <v>0:0</v>
      </c>
      <c r="K26" s="42" t="str">
        <f>CONCATENATE(Z25,$G$25,Y25)</f>
        <v>0:0</v>
      </c>
      <c r="O26" s="23" t="s">
        <v>26</v>
      </c>
      <c r="P26" s="24"/>
      <c r="Q26" s="23"/>
      <c r="U26" s="97" t="s">
        <v>27</v>
      </c>
      <c r="V26" s="97"/>
      <c r="W26" s="97"/>
      <c r="Y26" s="23" t="s">
        <v>28</v>
      </c>
    </row>
    <row r="27" ht="5.25" customHeight="1" thickBot="1"/>
    <row r="28" spans="2:26" ht="39" customHeight="1" thickBot="1">
      <c r="B28" s="96" t="str">
        <f>IF(Y25&gt;Z25,D7,IF(Y25&lt;&gt;Z25,D9,J33))</f>
        <v> </v>
      </c>
      <c r="C28" s="96"/>
      <c r="D28" s="96"/>
      <c r="E28" s="96"/>
      <c r="F28" s="96"/>
      <c r="G28" s="96"/>
      <c r="H28" s="96"/>
      <c r="I28" s="96"/>
      <c r="J28" s="96"/>
      <c r="K28" s="96"/>
      <c r="L28" s="108" t="str">
        <f>IF(Y25&gt;Z25,J26,IF(Y25&lt;&gt;Z25,K26,E29))</f>
        <v> </v>
      </c>
      <c r="M28" s="109"/>
      <c r="N28" s="109"/>
      <c r="O28" s="109"/>
      <c r="P28" s="109"/>
      <c r="Q28" s="109"/>
      <c r="R28" s="110"/>
      <c r="S28" s="104" t="str">
        <f>IF(Y25&gt;Z25,H26,IF(Y25&lt;&gt;Z25,I26,J33))</f>
        <v> </v>
      </c>
      <c r="T28" s="104"/>
      <c r="U28" s="104"/>
      <c r="V28" s="104"/>
      <c r="W28" s="104" t="str">
        <f>IF(Y25&gt;Z25,F26,IF(Y25&lt;&gt;Z25,G26,J33))</f>
        <v> </v>
      </c>
      <c r="X28" s="104"/>
      <c r="Y28" s="104"/>
      <c r="Z28" s="104"/>
    </row>
    <row r="29" ht="19.5" customHeight="1">
      <c r="E29" s="40" t="s">
        <v>3</v>
      </c>
    </row>
    <row r="30" spans="2:26" ht="12.75">
      <c r="B30" s="23"/>
      <c r="C30" s="23"/>
      <c r="D30" s="22" t="s">
        <v>29</v>
      </c>
      <c r="E30" s="22"/>
      <c r="F30" s="105" t="s">
        <v>30</v>
      </c>
      <c r="G30" s="105"/>
      <c r="H30" s="105"/>
      <c r="I30" s="23"/>
      <c r="J30" s="23"/>
      <c r="K30" s="23"/>
      <c r="L30" s="23" t="s">
        <v>31</v>
      </c>
      <c r="M30" s="24"/>
      <c r="N30" s="23"/>
      <c r="O30" s="23"/>
      <c r="P30" s="24"/>
      <c r="Q30" s="23"/>
      <c r="R30" s="23"/>
      <c r="S30" s="24"/>
      <c r="T30" s="23"/>
      <c r="U30" s="23"/>
      <c r="V30" s="23"/>
      <c r="W30" s="23"/>
      <c r="X30" s="23" t="s">
        <v>32</v>
      </c>
      <c r="Y30" s="23"/>
      <c r="Z30" s="23"/>
    </row>
    <row r="31" spans="3:5" ht="6" customHeight="1">
      <c r="C31" s="106"/>
      <c r="D31" s="106"/>
      <c r="E31" s="106"/>
    </row>
    <row r="32" spans="2:26" ht="36" customHeight="1">
      <c r="B32" s="25" t="s">
        <v>2</v>
      </c>
      <c r="C32" s="111" t="s">
        <v>3</v>
      </c>
      <c r="D32" s="112"/>
      <c r="E32" s="113"/>
      <c r="F32" s="103"/>
      <c r="G32" s="103"/>
      <c r="H32" s="103"/>
      <c r="I32" s="26"/>
      <c r="L32" s="114" t="s">
        <v>33</v>
      </c>
      <c r="M32" s="115"/>
      <c r="N32" s="43" t="s">
        <v>3</v>
      </c>
      <c r="O32" s="44"/>
      <c r="P32" s="44"/>
      <c r="Q32" s="44"/>
      <c r="R32" s="44"/>
      <c r="S32" s="44"/>
      <c r="T32" s="44"/>
      <c r="U32" s="44"/>
      <c r="V32" s="45"/>
      <c r="W32" s="103"/>
      <c r="X32" s="103"/>
      <c r="Y32" s="103"/>
      <c r="Z32" s="103"/>
    </row>
    <row r="33" spans="2:26" ht="36" customHeight="1">
      <c r="B33" s="25" t="s">
        <v>6</v>
      </c>
      <c r="C33" s="111" t="s">
        <v>3</v>
      </c>
      <c r="D33" s="112"/>
      <c r="E33" s="113"/>
      <c r="F33" s="103"/>
      <c r="G33" s="103"/>
      <c r="H33" s="103"/>
      <c r="I33" s="26"/>
      <c r="J33" t="s">
        <v>3</v>
      </c>
      <c r="L33" s="114" t="s">
        <v>34</v>
      </c>
      <c r="M33" s="115"/>
      <c r="N33" s="46"/>
      <c r="O33" s="47"/>
      <c r="P33" s="47"/>
      <c r="Q33" s="47"/>
      <c r="R33" s="47"/>
      <c r="S33" s="47"/>
      <c r="T33" s="47"/>
      <c r="U33" s="47"/>
      <c r="V33" s="48"/>
      <c r="W33" s="103"/>
      <c r="X33" s="103"/>
      <c r="Y33" s="103"/>
      <c r="Z33" s="103"/>
    </row>
  </sheetData>
  <sheetProtection/>
  <mergeCells count="54">
    <mergeCell ref="W33:Z33"/>
    <mergeCell ref="C32:E32"/>
    <mergeCell ref="F32:H32"/>
    <mergeCell ref="L32:M32"/>
    <mergeCell ref="C33:E33"/>
    <mergeCell ref="F33:H33"/>
    <mergeCell ref="L33:M33"/>
    <mergeCell ref="W32:Z32"/>
    <mergeCell ref="W28:Z28"/>
    <mergeCell ref="F30:H30"/>
    <mergeCell ref="C31:E31"/>
    <mergeCell ref="C23:E23"/>
    <mergeCell ref="G23:J23"/>
    <mergeCell ref="C24:E24"/>
    <mergeCell ref="G24:J24"/>
    <mergeCell ref="C26:E26"/>
    <mergeCell ref="L28:R28"/>
    <mergeCell ref="B28:K28"/>
    <mergeCell ref="U26:W26"/>
    <mergeCell ref="C20:E20"/>
    <mergeCell ref="G20:J20"/>
    <mergeCell ref="C21:E21"/>
    <mergeCell ref="G21:J21"/>
    <mergeCell ref="C22:E22"/>
    <mergeCell ref="G22:J22"/>
    <mergeCell ref="S28:V28"/>
    <mergeCell ref="C19:E19"/>
    <mergeCell ref="G19:J19"/>
    <mergeCell ref="D15:E15"/>
    <mergeCell ref="G15:J15"/>
    <mergeCell ref="C17:E17"/>
    <mergeCell ref="G17:J17"/>
    <mergeCell ref="C18:E18"/>
    <mergeCell ref="G18:J18"/>
    <mergeCell ref="L15:N15"/>
    <mergeCell ref="O15:Q15"/>
    <mergeCell ref="R15:T15"/>
    <mergeCell ref="C16:E16"/>
    <mergeCell ref="G16:J16"/>
    <mergeCell ref="R9:Z9"/>
    <mergeCell ref="C14:F14"/>
    <mergeCell ref="G14:K14"/>
    <mergeCell ref="L14:T14"/>
    <mergeCell ref="U14:V14"/>
    <mergeCell ref="R10:Z10"/>
    <mergeCell ref="W14:X14"/>
    <mergeCell ref="Y14:Z14"/>
    <mergeCell ref="B7:C8"/>
    <mergeCell ref="D7:G8"/>
    <mergeCell ref="R7:Z7"/>
    <mergeCell ref="R8:Z8"/>
    <mergeCell ref="B9:C10"/>
    <mergeCell ref="D9:G10"/>
    <mergeCell ref="K9:O9"/>
  </mergeCells>
  <printOptions/>
  <pageMargins left="0.3937007874015748" right="0.13" top="0.5905511811023623" bottom="0.5905511811023623" header="0.5118110236220472" footer="0.5118110236220472"/>
  <pageSetup horizontalDpi="300" verticalDpi="300" orientation="portrait" paperSize="9" r:id="rId2"/>
  <customProperties>
    <customPr name="DVSECTIONID" r:id="rId3"/>
  </customProperties>
  <ignoredErrors>
    <ignoredError sqref="H26:I26 J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K56"/>
  <sheetViews>
    <sheetView zoomScalePageLayoutView="0" workbookViewId="0" topLeftCell="A1">
      <selection activeCell="B24" sqref="B24:K35"/>
    </sheetView>
  </sheetViews>
  <sheetFormatPr defaultColWidth="9.140625" defaultRowHeight="12.75"/>
  <cols>
    <col min="1" max="1" width="1.421875" style="0" customWidth="1"/>
    <col min="2" max="2" width="9.421875" style="0" customWidth="1"/>
    <col min="3" max="3" width="7.8515625" style="0" customWidth="1"/>
    <col min="4" max="4" width="7.421875" style="0" customWidth="1"/>
    <col min="8" max="8" width="10.7109375" style="0" customWidth="1"/>
    <col min="9" max="9" width="4.421875" style="0" customWidth="1"/>
    <col min="10" max="10" width="22.00390625" style="0" customWidth="1"/>
    <col min="11" max="11" width="4.140625" style="0" customWidth="1"/>
    <col min="12" max="12" width="1.421875" style="0" customWidth="1"/>
  </cols>
  <sheetData>
    <row r="2" ht="15.75">
      <c r="G2" s="27" t="s">
        <v>35</v>
      </c>
    </row>
    <row r="4" spans="2:11" ht="12.75">
      <c r="B4" s="28"/>
      <c r="C4" s="29"/>
      <c r="D4" s="29"/>
      <c r="E4" s="29"/>
      <c r="F4" s="29"/>
      <c r="G4" s="29"/>
      <c r="H4" s="29"/>
      <c r="I4" s="29"/>
      <c r="J4" s="29"/>
      <c r="K4" s="30"/>
    </row>
    <row r="5" spans="2:11" ht="12.75">
      <c r="B5" s="31" t="s">
        <v>36</v>
      </c>
      <c r="C5" s="3"/>
      <c r="D5" s="3"/>
      <c r="E5" s="3" t="s">
        <v>3</v>
      </c>
      <c r="F5" s="3"/>
      <c r="G5" s="3"/>
      <c r="H5" s="3"/>
      <c r="I5" s="3"/>
      <c r="J5" s="3"/>
      <c r="K5" s="32"/>
    </row>
    <row r="6" spans="2:11" ht="12.75">
      <c r="B6" s="116"/>
      <c r="C6" s="117"/>
      <c r="D6" s="117"/>
      <c r="E6" s="117"/>
      <c r="F6" s="117"/>
      <c r="G6" s="117"/>
      <c r="H6" s="117"/>
      <c r="I6" s="117"/>
      <c r="J6" s="117"/>
      <c r="K6" s="118"/>
    </row>
    <row r="7" spans="2:11" ht="12.75">
      <c r="B7" s="116"/>
      <c r="C7" s="117"/>
      <c r="D7" s="117"/>
      <c r="E7" s="117"/>
      <c r="F7" s="117"/>
      <c r="G7" s="117"/>
      <c r="H7" s="117"/>
      <c r="I7" s="117"/>
      <c r="J7" s="117"/>
      <c r="K7" s="118"/>
    </row>
    <row r="8" spans="2:11" ht="12.75">
      <c r="B8" s="116"/>
      <c r="C8" s="117"/>
      <c r="D8" s="117"/>
      <c r="E8" s="117"/>
      <c r="F8" s="117"/>
      <c r="G8" s="117"/>
      <c r="H8" s="117"/>
      <c r="I8" s="117"/>
      <c r="J8" s="117"/>
      <c r="K8" s="118"/>
    </row>
    <row r="9" spans="2:11" ht="12.75">
      <c r="B9" s="116"/>
      <c r="C9" s="117"/>
      <c r="D9" s="117"/>
      <c r="E9" s="117"/>
      <c r="F9" s="117"/>
      <c r="G9" s="117"/>
      <c r="H9" s="117"/>
      <c r="I9" s="117"/>
      <c r="J9" s="117"/>
      <c r="K9" s="118"/>
    </row>
    <row r="10" spans="2:11" ht="12.75">
      <c r="B10" s="116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2:11" ht="12.75">
      <c r="B11" s="116"/>
      <c r="C11" s="117"/>
      <c r="D11" s="117"/>
      <c r="E11" s="117"/>
      <c r="F11" s="117"/>
      <c r="G11" s="117"/>
      <c r="H11" s="117"/>
      <c r="I11" s="117"/>
      <c r="J11" s="117"/>
      <c r="K11" s="118"/>
    </row>
    <row r="12" spans="2:11" ht="12.75">
      <c r="B12" s="116"/>
      <c r="C12" s="117"/>
      <c r="D12" s="117"/>
      <c r="E12" s="117"/>
      <c r="F12" s="117"/>
      <c r="G12" s="117"/>
      <c r="H12" s="117"/>
      <c r="I12" s="117"/>
      <c r="J12" s="117"/>
      <c r="K12" s="118"/>
    </row>
    <row r="13" spans="2:11" ht="12.75">
      <c r="B13" s="116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2:11" ht="12.75">
      <c r="B14" s="116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2:11" ht="12.75">
      <c r="B15" s="116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2:11" ht="12.75">
      <c r="B16" s="116"/>
      <c r="C16" s="117"/>
      <c r="D16" s="117"/>
      <c r="E16" s="117"/>
      <c r="F16" s="117"/>
      <c r="G16" s="117"/>
      <c r="H16" s="117"/>
      <c r="I16" s="117"/>
      <c r="J16" s="117"/>
      <c r="K16" s="118"/>
    </row>
    <row r="17" spans="2:11" ht="12.75">
      <c r="B17" s="116"/>
      <c r="C17" s="117"/>
      <c r="D17" s="117"/>
      <c r="E17" s="117"/>
      <c r="F17" s="117"/>
      <c r="G17" s="117"/>
      <c r="H17" s="117"/>
      <c r="I17" s="117"/>
      <c r="J17" s="117"/>
      <c r="K17" s="118"/>
    </row>
    <row r="18" spans="2:11" ht="12.75">
      <c r="B18" s="31"/>
      <c r="C18" s="3"/>
      <c r="D18" s="3"/>
      <c r="E18" s="3"/>
      <c r="F18" s="3"/>
      <c r="G18" s="3"/>
      <c r="H18" s="3"/>
      <c r="I18" s="33" t="s">
        <v>37</v>
      </c>
      <c r="J18" s="33"/>
      <c r="K18" s="32"/>
    </row>
    <row r="19" spans="2:11" ht="12.75">
      <c r="B19" s="31"/>
      <c r="C19" s="3"/>
      <c r="D19" s="3"/>
      <c r="E19" s="3"/>
      <c r="F19" s="3"/>
      <c r="G19" s="3"/>
      <c r="H19" s="3"/>
      <c r="I19" s="3"/>
      <c r="J19" s="26" t="s">
        <v>38</v>
      </c>
      <c r="K19" s="32"/>
    </row>
    <row r="20" spans="2:11" ht="12.75">
      <c r="B20" s="34"/>
      <c r="C20" s="10"/>
      <c r="D20" s="10"/>
      <c r="E20" s="10"/>
      <c r="F20" s="10"/>
      <c r="G20" s="10"/>
      <c r="H20" s="10"/>
      <c r="I20" s="10"/>
      <c r="J20" s="10"/>
      <c r="K20" s="35"/>
    </row>
    <row r="22" spans="2:11" ht="12.75">
      <c r="B22" s="28"/>
      <c r="C22" s="29"/>
      <c r="D22" s="29"/>
      <c r="E22" s="29"/>
      <c r="F22" s="29"/>
      <c r="G22" s="29"/>
      <c r="H22" s="29"/>
      <c r="I22" s="29"/>
      <c r="J22" s="29"/>
      <c r="K22" s="30"/>
    </row>
    <row r="23" spans="2:11" ht="12.75">
      <c r="B23" s="31" t="s">
        <v>39</v>
      </c>
      <c r="C23" s="3"/>
      <c r="D23" s="3"/>
      <c r="E23" s="3" t="s">
        <v>3</v>
      </c>
      <c r="F23" s="3"/>
      <c r="G23" s="3"/>
      <c r="H23" s="3"/>
      <c r="I23" s="3"/>
      <c r="J23" s="3"/>
      <c r="K23" s="32"/>
    </row>
    <row r="24" spans="2:11" ht="12.75">
      <c r="B24" s="119" t="s">
        <v>3</v>
      </c>
      <c r="C24" s="117"/>
      <c r="D24" s="117"/>
      <c r="E24" s="117"/>
      <c r="F24" s="117"/>
      <c r="G24" s="117"/>
      <c r="H24" s="117"/>
      <c r="I24" s="117"/>
      <c r="J24" s="117"/>
      <c r="K24" s="118"/>
    </row>
    <row r="25" spans="2:11" ht="12.75">
      <c r="B25" s="116"/>
      <c r="C25" s="117"/>
      <c r="D25" s="117"/>
      <c r="E25" s="117"/>
      <c r="F25" s="117"/>
      <c r="G25" s="117"/>
      <c r="H25" s="117"/>
      <c r="I25" s="117"/>
      <c r="J25" s="117"/>
      <c r="K25" s="118"/>
    </row>
    <row r="26" spans="2:11" ht="12.75">
      <c r="B26" s="116"/>
      <c r="C26" s="117"/>
      <c r="D26" s="117"/>
      <c r="E26" s="117"/>
      <c r="F26" s="117"/>
      <c r="G26" s="117"/>
      <c r="H26" s="117"/>
      <c r="I26" s="117"/>
      <c r="J26" s="117"/>
      <c r="K26" s="118"/>
    </row>
    <row r="27" spans="2:11" ht="12.75">
      <c r="B27" s="116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2:11" ht="12.75">
      <c r="B28" s="116"/>
      <c r="C28" s="117"/>
      <c r="D28" s="117"/>
      <c r="E28" s="117"/>
      <c r="F28" s="117"/>
      <c r="G28" s="117"/>
      <c r="H28" s="117"/>
      <c r="I28" s="117"/>
      <c r="J28" s="117"/>
      <c r="K28" s="118"/>
    </row>
    <row r="29" spans="2:11" ht="12.75">
      <c r="B29" s="116"/>
      <c r="C29" s="117"/>
      <c r="D29" s="117"/>
      <c r="E29" s="117"/>
      <c r="F29" s="117"/>
      <c r="G29" s="117"/>
      <c r="H29" s="117"/>
      <c r="I29" s="117"/>
      <c r="J29" s="117"/>
      <c r="K29" s="118"/>
    </row>
    <row r="30" spans="2:11" ht="12.75">
      <c r="B30" s="116"/>
      <c r="C30" s="117"/>
      <c r="D30" s="117"/>
      <c r="E30" s="117"/>
      <c r="F30" s="117"/>
      <c r="G30" s="117"/>
      <c r="H30" s="117"/>
      <c r="I30" s="117"/>
      <c r="J30" s="117"/>
      <c r="K30" s="118"/>
    </row>
    <row r="31" spans="2:11" ht="12.75">
      <c r="B31" s="116"/>
      <c r="C31" s="117"/>
      <c r="D31" s="117"/>
      <c r="E31" s="117"/>
      <c r="F31" s="117"/>
      <c r="G31" s="117"/>
      <c r="H31" s="117"/>
      <c r="I31" s="117"/>
      <c r="J31" s="117"/>
      <c r="K31" s="118"/>
    </row>
    <row r="32" spans="2:11" ht="12.75">
      <c r="B32" s="116"/>
      <c r="C32" s="117"/>
      <c r="D32" s="117"/>
      <c r="E32" s="117"/>
      <c r="F32" s="117"/>
      <c r="G32" s="117"/>
      <c r="H32" s="117"/>
      <c r="I32" s="117"/>
      <c r="J32" s="117"/>
      <c r="K32" s="118"/>
    </row>
    <row r="33" spans="2:11" ht="12.75">
      <c r="B33" s="116"/>
      <c r="C33" s="117"/>
      <c r="D33" s="117"/>
      <c r="E33" s="117"/>
      <c r="F33" s="117"/>
      <c r="G33" s="117"/>
      <c r="H33" s="117"/>
      <c r="I33" s="117"/>
      <c r="J33" s="117"/>
      <c r="K33" s="118"/>
    </row>
    <row r="34" spans="2:11" ht="12.75">
      <c r="B34" s="116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2:11" ht="12.75">
      <c r="B35" s="116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2:11" ht="12.75">
      <c r="B36" s="31"/>
      <c r="C36" s="3"/>
      <c r="D36" s="3"/>
      <c r="E36" s="3"/>
      <c r="F36" s="3"/>
      <c r="G36" s="3"/>
      <c r="H36" s="3"/>
      <c r="I36" s="33" t="s">
        <v>37</v>
      </c>
      <c r="J36" s="33"/>
      <c r="K36" s="32"/>
    </row>
    <row r="37" spans="2:11" ht="12.75">
      <c r="B37" s="31"/>
      <c r="C37" s="3"/>
      <c r="D37" s="3"/>
      <c r="E37" s="3"/>
      <c r="F37" s="3"/>
      <c r="G37" s="3"/>
      <c r="H37" s="3"/>
      <c r="I37" s="3"/>
      <c r="J37" s="26" t="s">
        <v>38</v>
      </c>
      <c r="K37" s="32"/>
    </row>
    <row r="38" spans="2:11" ht="12.75">
      <c r="B38" s="34"/>
      <c r="C38" s="10"/>
      <c r="D38" s="10"/>
      <c r="E38" s="10"/>
      <c r="F38" s="10"/>
      <c r="G38" s="10"/>
      <c r="H38" s="10"/>
      <c r="I38" s="10"/>
      <c r="J38" s="10"/>
      <c r="K38" s="35"/>
    </row>
    <row r="40" spans="2:11" ht="12.75">
      <c r="B40" s="28"/>
      <c r="C40" s="29"/>
      <c r="D40" s="29"/>
      <c r="E40" s="29"/>
      <c r="F40" s="29"/>
      <c r="G40" s="29"/>
      <c r="H40" s="29"/>
      <c r="I40" s="29"/>
      <c r="J40" s="29"/>
      <c r="K40" s="30"/>
    </row>
    <row r="41" spans="2:11" ht="12.75">
      <c r="B41" s="31" t="s">
        <v>40</v>
      </c>
      <c r="C41" s="3"/>
      <c r="D41" s="3"/>
      <c r="E41" s="3"/>
      <c r="F41" s="3"/>
      <c r="G41" s="3"/>
      <c r="H41" s="3"/>
      <c r="I41" s="3"/>
      <c r="J41" s="3"/>
      <c r="K41" s="32"/>
    </row>
    <row r="42" spans="2:11" ht="12.75">
      <c r="B42" s="120"/>
      <c r="C42" s="121"/>
      <c r="D42" s="121"/>
      <c r="E42" s="121"/>
      <c r="F42" s="121"/>
      <c r="G42" s="121"/>
      <c r="H42" s="121"/>
      <c r="I42" s="121"/>
      <c r="J42" s="121"/>
      <c r="K42" s="122"/>
    </row>
    <row r="43" spans="2:11" ht="12.75">
      <c r="B43" s="123"/>
      <c r="C43" s="121"/>
      <c r="D43" s="121"/>
      <c r="E43" s="121"/>
      <c r="F43" s="121"/>
      <c r="G43" s="121"/>
      <c r="H43" s="121"/>
      <c r="I43" s="121"/>
      <c r="J43" s="121"/>
      <c r="K43" s="122"/>
    </row>
    <row r="44" spans="2:11" ht="12.75">
      <c r="B44" s="123"/>
      <c r="C44" s="121"/>
      <c r="D44" s="121"/>
      <c r="E44" s="121"/>
      <c r="F44" s="121"/>
      <c r="G44" s="121"/>
      <c r="H44" s="121"/>
      <c r="I44" s="121"/>
      <c r="J44" s="121"/>
      <c r="K44" s="122"/>
    </row>
    <row r="45" spans="2:11" ht="12.75">
      <c r="B45" s="123"/>
      <c r="C45" s="121"/>
      <c r="D45" s="121"/>
      <c r="E45" s="121"/>
      <c r="F45" s="121"/>
      <c r="G45" s="121"/>
      <c r="H45" s="121"/>
      <c r="I45" s="121"/>
      <c r="J45" s="121"/>
      <c r="K45" s="122"/>
    </row>
    <row r="46" spans="2:11" ht="12.75">
      <c r="B46" s="123"/>
      <c r="C46" s="121"/>
      <c r="D46" s="121"/>
      <c r="E46" s="121"/>
      <c r="F46" s="121"/>
      <c r="G46" s="121"/>
      <c r="H46" s="121"/>
      <c r="I46" s="121"/>
      <c r="J46" s="121"/>
      <c r="K46" s="122"/>
    </row>
    <row r="47" spans="2:11" ht="12.75">
      <c r="B47" s="123"/>
      <c r="C47" s="121"/>
      <c r="D47" s="121"/>
      <c r="E47" s="121"/>
      <c r="F47" s="121"/>
      <c r="G47" s="121"/>
      <c r="H47" s="121"/>
      <c r="I47" s="121"/>
      <c r="J47" s="121"/>
      <c r="K47" s="122"/>
    </row>
    <row r="48" spans="2:11" ht="12.75">
      <c r="B48" s="123"/>
      <c r="C48" s="121"/>
      <c r="D48" s="121"/>
      <c r="E48" s="121"/>
      <c r="F48" s="121"/>
      <c r="G48" s="121"/>
      <c r="H48" s="121"/>
      <c r="I48" s="121"/>
      <c r="J48" s="121"/>
      <c r="K48" s="122"/>
    </row>
    <row r="49" spans="2:11" ht="12.75">
      <c r="B49" s="123"/>
      <c r="C49" s="121"/>
      <c r="D49" s="121"/>
      <c r="E49" s="121"/>
      <c r="F49" s="121"/>
      <c r="G49" s="121"/>
      <c r="H49" s="121"/>
      <c r="I49" s="121"/>
      <c r="J49" s="121"/>
      <c r="K49" s="122"/>
    </row>
    <row r="50" spans="2:11" ht="12.75">
      <c r="B50" s="123"/>
      <c r="C50" s="121"/>
      <c r="D50" s="121"/>
      <c r="E50" s="121"/>
      <c r="F50" s="121"/>
      <c r="G50" s="121"/>
      <c r="H50" s="121"/>
      <c r="I50" s="121"/>
      <c r="J50" s="121"/>
      <c r="K50" s="122"/>
    </row>
    <row r="51" spans="2:11" ht="12.75">
      <c r="B51" s="123"/>
      <c r="C51" s="121"/>
      <c r="D51" s="121"/>
      <c r="E51" s="121"/>
      <c r="F51" s="121"/>
      <c r="G51" s="121"/>
      <c r="H51" s="121"/>
      <c r="I51" s="121"/>
      <c r="J51" s="121"/>
      <c r="K51" s="122"/>
    </row>
    <row r="52" spans="2:11" ht="12.75">
      <c r="B52" s="123"/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ht="12.75">
      <c r="B53" s="123"/>
      <c r="C53" s="121"/>
      <c r="D53" s="121"/>
      <c r="E53" s="121"/>
      <c r="F53" s="121"/>
      <c r="G53" s="121"/>
      <c r="H53" s="121"/>
      <c r="I53" s="121"/>
      <c r="J53" s="121"/>
      <c r="K53" s="122"/>
    </row>
    <row r="54" spans="2:11" ht="12.75">
      <c r="B54" s="31"/>
      <c r="C54" s="3"/>
      <c r="D54" s="3"/>
      <c r="E54" s="3"/>
      <c r="F54" s="3"/>
      <c r="G54" s="3"/>
      <c r="H54" s="3"/>
      <c r="I54" s="33" t="s">
        <v>37</v>
      </c>
      <c r="J54" s="33"/>
      <c r="K54" s="32"/>
    </row>
    <row r="55" spans="2:11" ht="12.75">
      <c r="B55" s="31"/>
      <c r="C55" s="3"/>
      <c r="D55" s="3"/>
      <c r="E55" s="3"/>
      <c r="F55" s="3"/>
      <c r="G55" s="3"/>
      <c r="H55" s="3"/>
      <c r="I55" s="3"/>
      <c r="J55" s="26" t="s">
        <v>38</v>
      </c>
      <c r="K55" s="32"/>
    </row>
    <row r="56" spans="2:11" ht="12.75">
      <c r="B56" s="34"/>
      <c r="C56" s="10"/>
      <c r="D56" s="10"/>
      <c r="E56" s="10"/>
      <c r="F56" s="10"/>
      <c r="G56" s="10"/>
      <c r="H56" s="10"/>
      <c r="I56" s="10"/>
      <c r="J56" s="10"/>
      <c r="K56" s="35"/>
    </row>
  </sheetData>
  <sheetProtection/>
  <mergeCells count="3">
    <mergeCell ref="B6:K17"/>
    <mergeCell ref="B24:K35"/>
    <mergeCell ref="B42:K53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V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IF(přední!1:1,"AAAAAD/eXwA=",0)</f>
        <v>0</v>
      </c>
      <c r="B1" t="e">
        <f>AND(přední!B1,"AAAAAD/eXwE=")</f>
        <v>#VALUE!</v>
      </c>
      <c r="C1" t="e">
        <f>AND(přední!C1,"AAAAAD/eXwI=")</f>
        <v>#VALUE!</v>
      </c>
      <c r="D1" t="e">
        <f>AND(přední!D1,"AAAAAD/eXwM=")</f>
        <v>#VALUE!</v>
      </c>
      <c r="E1" t="e">
        <f>AND(přední!E1,"AAAAAD/eXwQ=")</f>
        <v>#VALUE!</v>
      </c>
      <c r="F1" t="e">
        <f>AND(přední!F1,"AAAAAD/eXwU=")</f>
        <v>#VALUE!</v>
      </c>
      <c r="G1" t="e">
        <f>AND(přední!G1,"AAAAAD/eXwY=")</f>
        <v>#VALUE!</v>
      </c>
      <c r="H1" t="e">
        <f>AND(přední!H1,"AAAAAD/eXwc=")</f>
        <v>#VALUE!</v>
      </c>
      <c r="I1" t="e">
        <f>AND(přední!I1,"AAAAAD/eXwg=")</f>
        <v>#VALUE!</v>
      </c>
      <c r="J1" t="e">
        <f>AND(přední!J1,"AAAAAD/eXwk=")</f>
        <v>#VALUE!</v>
      </c>
      <c r="K1" t="e">
        <f>AND(přední!K1,"AAAAAD/eXwo=")</f>
        <v>#VALUE!</v>
      </c>
      <c r="L1" t="e">
        <f>AND(přední!L1,"AAAAAD/eXws=")</f>
        <v>#VALUE!</v>
      </c>
      <c r="M1" t="e">
        <f>AND(přední!M1,"AAAAAD/eXww=")</f>
        <v>#VALUE!</v>
      </c>
      <c r="N1" t="e">
        <f>AND(přední!N1,"AAAAAD/eXw0=")</f>
        <v>#VALUE!</v>
      </c>
      <c r="O1" t="e">
        <f>AND(přední!O1,"AAAAAD/eXw4=")</f>
        <v>#VALUE!</v>
      </c>
      <c r="P1" t="e">
        <f>AND(přední!P1,"AAAAAD/eXw8=")</f>
        <v>#VALUE!</v>
      </c>
      <c r="Q1" t="e">
        <f>AND(přední!Q1,"AAAAAD/eXxA=")</f>
        <v>#VALUE!</v>
      </c>
      <c r="R1" t="e">
        <f>AND(přední!R1,"AAAAAD/eXxE=")</f>
        <v>#VALUE!</v>
      </c>
      <c r="S1" t="e">
        <f>AND(přední!S1,"AAAAAD/eXxI=")</f>
        <v>#VALUE!</v>
      </c>
      <c r="T1" t="e">
        <f>AND(přední!T1,"AAAAAD/eXxM=")</f>
        <v>#VALUE!</v>
      </c>
      <c r="U1" t="e">
        <f>AND(přední!U1,"AAAAAD/eXxQ=")</f>
        <v>#VALUE!</v>
      </c>
      <c r="V1" t="e">
        <f>AND(přední!V1,"AAAAAD/eXxU=")</f>
        <v>#VALUE!</v>
      </c>
      <c r="W1" t="e">
        <f>AND(přední!W1,"AAAAAD/eXxY=")</f>
        <v>#VALUE!</v>
      </c>
      <c r="X1" t="e">
        <f>AND(přední!X1,"AAAAAD/eXxc=")</f>
        <v>#VALUE!</v>
      </c>
      <c r="Y1" t="e">
        <f>AND(přední!Y1,"AAAAAD/eXxg=")</f>
        <v>#VALUE!</v>
      </c>
      <c r="Z1" t="e">
        <f>AND(přední!Z1,"AAAAAD/eXxk=")</f>
        <v>#VALUE!</v>
      </c>
      <c r="AA1" t="e">
        <f>AND(přední!AA1,"AAAAAD/eXxo=")</f>
        <v>#VALUE!</v>
      </c>
      <c r="AB1" t="e">
        <f>AND(přední!AB1,"AAAAAD/eXxs=")</f>
        <v>#VALUE!</v>
      </c>
      <c r="AC1">
        <f>IF(přední!2:2,"AAAAAD/eXxw=",0)</f>
        <v>0</v>
      </c>
      <c r="AD1" t="e">
        <f>AND(přední!B2,"AAAAAD/eXx0=")</f>
        <v>#VALUE!</v>
      </c>
      <c r="AE1" t="e">
        <f>AND(přední!C2,"AAAAAD/eXx4=")</f>
        <v>#VALUE!</v>
      </c>
      <c r="AF1" t="e">
        <f>AND(přední!D2,"AAAAAD/eXx8=")</f>
        <v>#VALUE!</v>
      </c>
      <c r="AG1" t="e">
        <f>AND(přední!E2,"AAAAAD/eXyA=")</f>
        <v>#VALUE!</v>
      </c>
      <c r="AH1" t="e">
        <f>AND(přední!F2,"AAAAAD/eXyE=")</f>
        <v>#VALUE!</v>
      </c>
      <c r="AI1" t="e">
        <f>AND(přední!G2,"AAAAAD/eXyI=")</f>
        <v>#VALUE!</v>
      </c>
      <c r="AJ1" t="e">
        <f>AND(přední!H2,"AAAAAD/eXyM=")</f>
        <v>#VALUE!</v>
      </c>
      <c r="AK1" t="e">
        <f>AND(přední!I2,"AAAAAD/eXyQ=")</f>
        <v>#VALUE!</v>
      </c>
      <c r="AL1" t="e">
        <f>AND(přední!J2,"AAAAAD/eXyU=")</f>
        <v>#VALUE!</v>
      </c>
      <c r="AM1" t="e">
        <f>AND(přední!K2,"AAAAAD/eXyY=")</f>
        <v>#VALUE!</v>
      </c>
      <c r="AN1" t="e">
        <f>AND(přední!L2,"AAAAAD/eXyc=")</f>
        <v>#VALUE!</v>
      </c>
      <c r="AO1" t="e">
        <f>AND(přední!M2,"AAAAAD/eXyg=")</f>
        <v>#VALUE!</v>
      </c>
      <c r="AP1" t="e">
        <f>AND(přední!N2,"AAAAAD/eXyk=")</f>
        <v>#VALUE!</v>
      </c>
      <c r="AQ1" t="e">
        <f>AND(přední!O2,"AAAAAD/eXyo=")</f>
        <v>#VALUE!</v>
      </c>
      <c r="AR1" t="e">
        <f>AND(přední!P2,"AAAAAD/eXys=")</f>
        <v>#VALUE!</v>
      </c>
      <c r="AS1" t="e">
        <f>AND(přední!Q2,"AAAAAD/eXyw=")</f>
        <v>#VALUE!</v>
      </c>
      <c r="AT1" t="e">
        <f>AND(přední!R2,"AAAAAD/eXy0=")</f>
        <v>#VALUE!</v>
      </c>
      <c r="AU1" t="e">
        <f>AND(přední!S2,"AAAAAD/eXy4=")</f>
        <v>#VALUE!</v>
      </c>
      <c r="AV1" t="e">
        <f>AND(přední!T2,"AAAAAD/eXy8=")</f>
        <v>#VALUE!</v>
      </c>
      <c r="AW1" t="e">
        <f>AND(přední!U2,"AAAAAD/eXzA=")</f>
        <v>#VALUE!</v>
      </c>
      <c r="AX1" t="e">
        <f>AND(přední!V2,"AAAAAD/eXzE=")</f>
        <v>#VALUE!</v>
      </c>
      <c r="AY1" t="e">
        <f>AND(přední!W2,"AAAAAD/eXzI=")</f>
        <v>#VALUE!</v>
      </c>
      <c r="AZ1" t="e">
        <f>AND(přední!X2,"AAAAAD/eXzM=")</f>
        <v>#VALUE!</v>
      </c>
      <c r="BA1" t="e">
        <f>AND(přední!Y2,"AAAAAD/eXzQ=")</f>
        <v>#VALUE!</v>
      </c>
      <c r="BB1" t="e">
        <f>AND(přední!Z2,"AAAAAD/eXzU=")</f>
        <v>#VALUE!</v>
      </c>
      <c r="BC1" t="e">
        <f>AND(přední!AA2,"AAAAAD/eXzY=")</f>
        <v>#VALUE!</v>
      </c>
      <c r="BD1" t="e">
        <f>AND(přední!AB2,"AAAAAD/eXzc=")</f>
        <v>#VALUE!</v>
      </c>
      <c r="BE1">
        <f>IF(přední!3:3,"AAAAAD/eXzg=",0)</f>
        <v>0</v>
      </c>
      <c r="BF1" t="e">
        <f>AND(přední!B3,"AAAAAD/eXzk=")</f>
        <v>#VALUE!</v>
      </c>
      <c r="BG1" t="e">
        <f>AND(přední!C3,"AAAAAD/eXzo=")</f>
        <v>#VALUE!</v>
      </c>
      <c r="BH1" t="e">
        <f>AND(přední!D3,"AAAAAD/eXzs=")</f>
        <v>#VALUE!</v>
      </c>
      <c r="BI1" t="e">
        <f>AND(přední!E3,"AAAAAD/eXzw=")</f>
        <v>#VALUE!</v>
      </c>
      <c r="BJ1" t="e">
        <f>AND(přední!F3,"AAAAAD/eXz0=")</f>
        <v>#VALUE!</v>
      </c>
      <c r="BK1" t="e">
        <f>AND(přední!G3,"AAAAAD/eXz4=")</f>
        <v>#VALUE!</v>
      </c>
      <c r="BL1" t="e">
        <f>AND(přední!H3,"AAAAAD/eXz8=")</f>
        <v>#VALUE!</v>
      </c>
      <c r="BM1" t="e">
        <f>AND(přední!I3,"AAAAAD/eX0A=")</f>
        <v>#VALUE!</v>
      </c>
      <c r="BN1" t="e">
        <f>AND(přední!J3,"AAAAAD/eX0E=")</f>
        <v>#VALUE!</v>
      </c>
      <c r="BO1" t="e">
        <f>AND(přední!K3,"AAAAAD/eX0I=")</f>
        <v>#VALUE!</v>
      </c>
      <c r="BP1" t="e">
        <f>AND(přední!L3,"AAAAAD/eX0M=")</f>
        <v>#VALUE!</v>
      </c>
      <c r="BQ1" t="e">
        <f>AND(přední!M3,"AAAAAD/eX0Q=")</f>
        <v>#VALUE!</v>
      </c>
      <c r="BR1" t="e">
        <f>AND(přední!N3,"AAAAAD/eX0U=")</f>
        <v>#VALUE!</v>
      </c>
      <c r="BS1" t="e">
        <f>AND(přední!O3,"AAAAAD/eX0Y=")</f>
        <v>#VALUE!</v>
      </c>
      <c r="BT1" t="e">
        <f>AND(přední!P3,"AAAAAD/eX0c=")</f>
        <v>#VALUE!</v>
      </c>
      <c r="BU1" t="e">
        <f>AND(přední!Q3,"AAAAAD/eX0g=")</f>
        <v>#VALUE!</v>
      </c>
      <c r="BV1" t="e">
        <f>AND(přední!R3,"AAAAAD/eX0k=")</f>
        <v>#VALUE!</v>
      </c>
      <c r="BW1" t="e">
        <f>AND(přední!S3,"AAAAAD/eX0o=")</f>
        <v>#VALUE!</v>
      </c>
      <c r="BX1" t="e">
        <f>AND(přední!T3,"AAAAAD/eX0s=")</f>
        <v>#VALUE!</v>
      </c>
      <c r="BY1" t="e">
        <f>AND(přední!U3,"AAAAAD/eX0w=")</f>
        <v>#VALUE!</v>
      </c>
      <c r="BZ1" t="e">
        <f>AND(přední!V3,"AAAAAD/eX00=")</f>
        <v>#VALUE!</v>
      </c>
      <c r="CA1" t="e">
        <f>AND(přední!W3,"AAAAAD/eX04=")</f>
        <v>#VALUE!</v>
      </c>
      <c r="CB1" t="e">
        <f>AND(přední!X3,"AAAAAD/eX08=")</f>
        <v>#VALUE!</v>
      </c>
      <c r="CC1" t="e">
        <f>AND(přední!Y3,"AAAAAD/eX1A=")</f>
        <v>#VALUE!</v>
      </c>
      <c r="CD1" t="e">
        <f>AND(přední!Z3,"AAAAAD/eX1E=")</f>
        <v>#VALUE!</v>
      </c>
      <c r="CE1" t="e">
        <f>AND(přední!AA3,"AAAAAD/eX1I=")</f>
        <v>#VALUE!</v>
      </c>
      <c r="CF1" t="e">
        <f>AND(přední!AB3,"AAAAAD/eX1M=")</f>
        <v>#VALUE!</v>
      </c>
      <c r="CG1">
        <f>IF(přední!4:4,"AAAAAD/eX1Q=",0)</f>
        <v>0</v>
      </c>
      <c r="CH1" t="e">
        <f>AND(přední!B4,"AAAAAD/eX1U=")</f>
        <v>#VALUE!</v>
      </c>
      <c r="CI1" t="e">
        <f>AND(přední!C4,"AAAAAD/eX1Y=")</f>
        <v>#VALUE!</v>
      </c>
      <c r="CJ1" t="e">
        <f>AND(přední!D4,"AAAAAD/eX1c=")</f>
        <v>#VALUE!</v>
      </c>
      <c r="CK1" t="e">
        <f>AND(přední!E4,"AAAAAD/eX1g=")</f>
        <v>#VALUE!</v>
      </c>
      <c r="CL1" t="e">
        <f>AND(přední!F4,"AAAAAD/eX1k=")</f>
        <v>#VALUE!</v>
      </c>
      <c r="CM1" t="e">
        <f>AND(přední!G4,"AAAAAD/eX1o=")</f>
        <v>#VALUE!</v>
      </c>
      <c r="CN1" t="e">
        <f>AND(přední!H4,"AAAAAD/eX1s=")</f>
        <v>#VALUE!</v>
      </c>
      <c r="CO1" t="e">
        <f>AND(přední!I4,"AAAAAD/eX1w=")</f>
        <v>#VALUE!</v>
      </c>
      <c r="CP1" t="e">
        <f>AND(přední!J4,"AAAAAD/eX10=")</f>
        <v>#VALUE!</v>
      </c>
      <c r="CQ1" t="e">
        <f>AND(přední!K4,"AAAAAD/eX14=")</f>
        <v>#VALUE!</v>
      </c>
      <c r="CR1" t="e">
        <f>AND(přední!L4,"AAAAAD/eX18=")</f>
        <v>#VALUE!</v>
      </c>
      <c r="CS1" t="e">
        <f>AND(přední!M4,"AAAAAD/eX2A=")</f>
        <v>#VALUE!</v>
      </c>
      <c r="CT1" t="e">
        <f>AND(přední!N4,"AAAAAD/eX2E=")</f>
        <v>#VALUE!</v>
      </c>
      <c r="CU1" t="e">
        <f>AND(přední!O4,"AAAAAD/eX2I=")</f>
        <v>#VALUE!</v>
      </c>
      <c r="CV1" t="e">
        <f>AND(přední!P4,"AAAAAD/eX2M=")</f>
        <v>#VALUE!</v>
      </c>
      <c r="CW1" t="e">
        <f>AND(přední!Q4,"AAAAAD/eX2Q=")</f>
        <v>#VALUE!</v>
      </c>
      <c r="CX1" t="e">
        <f>AND(přední!R4,"AAAAAD/eX2U=")</f>
        <v>#VALUE!</v>
      </c>
      <c r="CY1" t="e">
        <f>AND(přední!S4,"AAAAAD/eX2Y=")</f>
        <v>#VALUE!</v>
      </c>
      <c r="CZ1" t="e">
        <f>AND(přední!T4,"AAAAAD/eX2c=")</f>
        <v>#VALUE!</v>
      </c>
      <c r="DA1" t="e">
        <f>AND(přední!U4,"AAAAAD/eX2g=")</f>
        <v>#VALUE!</v>
      </c>
      <c r="DB1" t="e">
        <f>AND(přední!V4,"AAAAAD/eX2k=")</f>
        <v>#VALUE!</v>
      </c>
      <c r="DC1" t="e">
        <f>AND(přední!W4,"AAAAAD/eX2o=")</f>
        <v>#VALUE!</v>
      </c>
      <c r="DD1" t="e">
        <f>AND(přední!X4,"AAAAAD/eX2s=")</f>
        <v>#VALUE!</v>
      </c>
      <c r="DE1" t="e">
        <f>AND(přední!Y4,"AAAAAD/eX2w=")</f>
        <v>#VALUE!</v>
      </c>
      <c r="DF1" t="e">
        <f>AND(přední!Z4,"AAAAAD/eX20=")</f>
        <v>#VALUE!</v>
      </c>
      <c r="DG1" t="e">
        <f>AND(přední!AA4,"AAAAAD/eX24=")</f>
        <v>#VALUE!</v>
      </c>
      <c r="DH1" t="e">
        <f>AND(přední!AB4,"AAAAAD/eX28=")</f>
        <v>#VALUE!</v>
      </c>
      <c r="DI1">
        <f>IF(přední!5:5,"AAAAAD/eX3A=",0)</f>
        <v>0</v>
      </c>
      <c r="DJ1" t="e">
        <f>AND(přední!B5,"AAAAAD/eX3E=")</f>
        <v>#VALUE!</v>
      </c>
      <c r="DK1" t="e">
        <f>AND(přední!C5,"AAAAAD/eX3I=")</f>
        <v>#VALUE!</v>
      </c>
      <c r="DL1" t="e">
        <f>AND(přední!D5,"AAAAAD/eX3M=")</f>
        <v>#VALUE!</v>
      </c>
      <c r="DM1" t="e">
        <f>AND(přední!E5,"AAAAAD/eX3Q=")</f>
        <v>#VALUE!</v>
      </c>
      <c r="DN1" t="e">
        <f>AND(přední!F5,"AAAAAD/eX3U=")</f>
        <v>#VALUE!</v>
      </c>
      <c r="DO1" t="e">
        <f>AND(přední!G5,"AAAAAD/eX3Y=")</f>
        <v>#VALUE!</v>
      </c>
      <c r="DP1" t="e">
        <f>AND(přední!H5,"AAAAAD/eX3c=")</f>
        <v>#VALUE!</v>
      </c>
      <c r="DQ1" t="e">
        <f>AND(přední!I5,"AAAAAD/eX3g=")</f>
        <v>#VALUE!</v>
      </c>
      <c r="DR1" t="e">
        <f>AND(přední!J5,"AAAAAD/eX3k=")</f>
        <v>#VALUE!</v>
      </c>
      <c r="DS1" t="e">
        <f>AND(přední!K5,"AAAAAD/eX3o=")</f>
        <v>#VALUE!</v>
      </c>
      <c r="DT1" t="e">
        <f>AND(přední!L5,"AAAAAD/eX3s=")</f>
        <v>#VALUE!</v>
      </c>
      <c r="DU1" t="e">
        <f>AND(přední!M5,"AAAAAD/eX3w=")</f>
        <v>#VALUE!</v>
      </c>
      <c r="DV1" t="e">
        <f>AND(přední!N5,"AAAAAD/eX30=")</f>
        <v>#VALUE!</v>
      </c>
      <c r="DW1" t="e">
        <f>AND(přední!O5,"AAAAAD/eX34=")</f>
        <v>#VALUE!</v>
      </c>
      <c r="DX1" t="e">
        <f>AND(přední!P5,"AAAAAD/eX38=")</f>
        <v>#VALUE!</v>
      </c>
      <c r="DY1" t="e">
        <f>AND(přední!Q5,"AAAAAD/eX4A=")</f>
        <v>#VALUE!</v>
      </c>
      <c r="DZ1" t="e">
        <f>AND(přední!R5,"AAAAAD/eX4E=")</f>
        <v>#VALUE!</v>
      </c>
      <c r="EA1" t="e">
        <f>AND(přední!S5,"AAAAAD/eX4I=")</f>
        <v>#VALUE!</v>
      </c>
      <c r="EB1" t="e">
        <f>AND(přední!T5,"AAAAAD/eX4M=")</f>
        <v>#VALUE!</v>
      </c>
      <c r="EC1" t="e">
        <f>AND(přední!U5,"AAAAAD/eX4Q=")</f>
        <v>#VALUE!</v>
      </c>
      <c r="ED1" t="e">
        <f>AND(přední!V5,"AAAAAD/eX4U=")</f>
        <v>#VALUE!</v>
      </c>
      <c r="EE1" t="e">
        <f>AND(přední!W5,"AAAAAD/eX4Y=")</f>
        <v>#VALUE!</v>
      </c>
      <c r="EF1" t="e">
        <f>AND(přední!X5,"AAAAAD/eX4c=")</f>
        <v>#VALUE!</v>
      </c>
      <c r="EG1" t="e">
        <f>AND(přední!Y5,"AAAAAD/eX4g=")</f>
        <v>#VALUE!</v>
      </c>
      <c r="EH1" t="e">
        <f>AND(přední!Z5,"AAAAAD/eX4k=")</f>
        <v>#VALUE!</v>
      </c>
      <c r="EI1" t="e">
        <f>AND(přední!AA5,"AAAAAD/eX4o=")</f>
        <v>#VALUE!</v>
      </c>
      <c r="EJ1" t="e">
        <f>AND(přední!AB5,"AAAAAD/eX4s=")</f>
        <v>#VALUE!</v>
      </c>
      <c r="EK1">
        <f>IF(přední!6:6,"AAAAAD/eX4w=",0)</f>
        <v>0</v>
      </c>
      <c r="EL1" t="e">
        <f>AND(přední!B6,"AAAAAD/eX40=")</f>
        <v>#VALUE!</v>
      </c>
      <c r="EM1" t="e">
        <f>AND(přední!C6,"AAAAAD/eX44=")</f>
        <v>#VALUE!</v>
      </c>
      <c r="EN1" t="e">
        <f>AND(přední!D6,"AAAAAD/eX48=")</f>
        <v>#VALUE!</v>
      </c>
      <c r="EO1" t="e">
        <f>AND(přední!E6,"AAAAAD/eX5A=")</f>
        <v>#VALUE!</v>
      </c>
      <c r="EP1" t="e">
        <f>AND(přední!F6,"AAAAAD/eX5E=")</f>
        <v>#VALUE!</v>
      </c>
      <c r="EQ1" t="e">
        <f>AND(přední!G6,"AAAAAD/eX5I=")</f>
        <v>#VALUE!</v>
      </c>
      <c r="ER1" t="e">
        <f>AND(přední!H6,"AAAAAD/eX5M=")</f>
        <v>#VALUE!</v>
      </c>
      <c r="ES1" t="e">
        <f>AND(přední!I6,"AAAAAD/eX5Q=")</f>
        <v>#VALUE!</v>
      </c>
      <c r="ET1" t="e">
        <f>AND(přední!J6,"AAAAAD/eX5U=")</f>
        <v>#VALUE!</v>
      </c>
      <c r="EU1" t="e">
        <f>AND(přední!K6,"AAAAAD/eX5Y=")</f>
        <v>#VALUE!</v>
      </c>
      <c r="EV1" t="e">
        <f>AND(přední!L6,"AAAAAD/eX5c=")</f>
        <v>#VALUE!</v>
      </c>
      <c r="EW1" t="e">
        <f>AND(přední!M6,"AAAAAD/eX5g=")</f>
        <v>#VALUE!</v>
      </c>
      <c r="EX1" t="e">
        <f>AND(přední!N6,"AAAAAD/eX5k=")</f>
        <v>#VALUE!</v>
      </c>
      <c r="EY1" t="e">
        <f>AND(přední!O6,"AAAAAD/eX5o=")</f>
        <v>#VALUE!</v>
      </c>
      <c r="EZ1" t="e">
        <f>AND(přední!P6,"AAAAAD/eX5s=")</f>
        <v>#VALUE!</v>
      </c>
      <c r="FA1" t="e">
        <f>AND(přední!Q6,"AAAAAD/eX5w=")</f>
        <v>#VALUE!</v>
      </c>
      <c r="FB1" t="e">
        <f>AND(přední!R6,"AAAAAD/eX50=")</f>
        <v>#VALUE!</v>
      </c>
      <c r="FC1" t="e">
        <f>AND(přední!S6,"AAAAAD/eX54=")</f>
        <v>#VALUE!</v>
      </c>
      <c r="FD1" t="e">
        <f>AND(přední!T6,"AAAAAD/eX58=")</f>
        <v>#VALUE!</v>
      </c>
      <c r="FE1" t="e">
        <f>AND(přední!U6,"AAAAAD/eX6A=")</f>
        <v>#VALUE!</v>
      </c>
      <c r="FF1" t="e">
        <f>AND(přední!V6,"AAAAAD/eX6E=")</f>
        <v>#VALUE!</v>
      </c>
      <c r="FG1" t="e">
        <f>AND(přední!W6,"AAAAAD/eX6I=")</f>
        <v>#VALUE!</v>
      </c>
      <c r="FH1" t="e">
        <f>AND(přední!X6,"AAAAAD/eX6M=")</f>
        <v>#VALUE!</v>
      </c>
      <c r="FI1" t="e">
        <f>AND(přední!Y6,"AAAAAD/eX6Q=")</f>
        <v>#VALUE!</v>
      </c>
      <c r="FJ1" t="e">
        <f>AND(přední!Z6,"AAAAAD/eX6U=")</f>
        <v>#VALUE!</v>
      </c>
      <c r="FK1" t="e">
        <f>AND(přední!AA6,"AAAAAD/eX6Y=")</f>
        <v>#VALUE!</v>
      </c>
      <c r="FL1" t="e">
        <f>AND(přední!AB6,"AAAAAD/eX6c=")</f>
        <v>#VALUE!</v>
      </c>
      <c r="FM1">
        <f>IF(přední!7:7,"AAAAAD/eX6g=",0)</f>
        <v>0</v>
      </c>
      <c r="FN1" t="e">
        <f>AND(přední!B7,"AAAAAD/eX6k=")</f>
        <v>#VALUE!</v>
      </c>
      <c r="FO1" t="e">
        <f>AND(přední!C7,"AAAAAD/eX6o=")</f>
        <v>#VALUE!</v>
      </c>
      <c r="FP1" t="e">
        <f>AND(přední!D7,"AAAAAD/eX6s=")</f>
        <v>#VALUE!</v>
      </c>
      <c r="FQ1" t="e">
        <f>AND(přední!E7,"AAAAAD/eX6w=")</f>
        <v>#VALUE!</v>
      </c>
      <c r="FR1" t="e">
        <f>AND(přední!F7,"AAAAAD/eX60=")</f>
        <v>#VALUE!</v>
      </c>
      <c r="FS1" t="e">
        <f>AND(přední!G7,"AAAAAD/eX64=")</f>
        <v>#VALUE!</v>
      </c>
      <c r="FT1" t="e">
        <f>AND(přední!H7,"AAAAAD/eX68=")</f>
        <v>#VALUE!</v>
      </c>
      <c r="FU1" t="e">
        <f>AND(přední!I7,"AAAAAD/eX7A=")</f>
        <v>#VALUE!</v>
      </c>
      <c r="FV1" t="e">
        <f>AND(přední!J7,"AAAAAD/eX7E=")</f>
        <v>#VALUE!</v>
      </c>
      <c r="FW1" t="e">
        <f>AND(přední!K7,"AAAAAD/eX7I=")</f>
        <v>#VALUE!</v>
      </c>
      <c r="FX1" t="e">
        <f>AND(přední!L7,"AAAAAD/eX7M=")</f>
        <v>#VALUE!</v>
      </c>
      <c r="FY1" t="e">
        <f>AND(přední!M7,"AAAAAD/eX7Q=")</f>
        <v>#VALUE!</v>
      </c>
      <c r="FZ1" t="e">
        <f>AND(přední!N7,"AAAAAD/eX7U=")</f>
        <v>#VALUE!</v>
      </c>
      <c r="GA1" t="e">
        <f>AND(přední!O7,"AAAAAD/eX7Y=")</f>
        <v>#VALUE!</v>
      </c>
      <c r="GB1" t="e">
        <f>AND(přední!P7,"AAAAAD/eX7c=")</f>
        <v>#VALUE!</v>
      </c>
      <c r="GC1" t="e">
        <f>AND(přední!Q7,"AAAAAD/eX7g=")</f>
        <v>#VALUE!</v>
      </c>
      <c r="GD1" t="e">
        <f>AND(přední!R7,"AAAAAD/eX7k=")</f>
        <v>#VALUE!</v>
      </c>
      <c r="GE1" t="e">
        <f>AND(přední!S7,"AAAAAD/eX7o=")</f>
        <v>#VALUE!</v>
      </c>
      <c r="GF1" t="e">
        <f>AND(přední!T7,"AAAAAD/eX7s=")</f>
        <v>#VALUE!</v>
      </c>
      <c r="GG1" t="e">
        <f>AND(přední!U7,"AAAAAD/eX7w=")</f>
        <v>#VALUE!</v>
      </c>
      <c r="GH1" t="e">
        <f>AND(přední!V7,"AAAAAD/eX70=")</f>
        <v>#VALUE!</v>
      </c>
      <c r="GI1" t="e">
        <f>AND(přední!W7,"AAAAAD/eX74=")</f>
        <v>#VALUE!</v>
      </c>
      <c r="GJ1" t="e">
        <f>AND(přední!X7,"AAAAAD/eX78=")</f>
        <v>#VALUE!</v>
      </c>
      <c r="GK1" t="e">
        <f>AND(přední!Y7,"AAAAAD/eX8A=")</f>
        <v>#VALUE!</v>
      </c>
      <c r="GL1" t="e">
        <f>AND(přední!Z7,"AAAAAD/eX8E=")</f>
        <v>#VALUE!</v>
      </c>
      <c r="GM1" t="e">
        <f>AND(přední!AA7,"AAAAAD/eX8I=")</f>
        <v>#VALUE!</v>
      </c>
      <c r="GN1" t="e">
        <f>AND(přední!AB7,"AAAAAD/eX8M=")</f>
        <v>#VALUE!</v>
      </c>
      <c r="GO1">
        <f>IF(přední!8:8,"AAAAAD/eX8Q=",0)</f>
        <v>0</v>
      </c>
      <c r="GP1" t="e">
        <f>AND(přední!B8,"AAAAAD/eX8U=")</f>
        <v>#VALUE!</v>
      </c>
      <c r="GQ1" t="e">
        <f>AND(přední!C8,"AAAAAD/eX8Y=")</f>
        <v>#VALUE!</v>
      </c>
      <c r="GR1" t="e">
        <f>AND(přední!D8,"AAAAAD/eX8c=")</f>
        <v>#VALUE!</v>
      </c>
      <c r="GS1" t="e">
        <f>AND(přední!E8,"AAAAAD/eX8g=")</f>
        <v>#VALUE!</v>
      </c>
      <c r="GT1" t="e">
        <f>AND(přední!F8,"AAAAAD/eX8k=")</f>
        <v>#VALUE!</v>
      </c>
      <c r="GU1" t="e">
        <f>AND(přední!G8,"AAAAAD/eX8o=")</f>
        <v>#VALUE!</v>
      </c>
      <c r="GV1" t="e">
        <f>AND(přední!H8,"AAAAAD/eX8s=")</f>
        <v>#VALUE!</v>
      </c>
      <c r="GW1" t="e">
        <f>AND(přední!I8,"AAAAAD/eX8w=")</f>
        <v>#VALUE!</v>
      </c>
      <c r="GX1" t="e">
        <f>AND(přední!J8,"AAAAAD/eX80=")</f>
        <v>#VALUE!</v>
      </c>
      <c r="GY1" t="e">
        <f>AND(přední!K8,"AAAAAD/eX84=")</f>
        <v>#VALUE!</v>
      </c>
      <c r="GZ1" t="e">
        <f>AND(přední!L8,"AAAAAD/eX88=")</f>
        <v>#VALUE!</v>
      </c>
      <c r="HA1" t="e">
        <f>AND(přední!M8,"AAAAAD/eX9A=")</f>
        <v>#VALUE!</v>
      </c>
      <c r="HB1" t="e">
        <f>AND(přední!N8,"AAAAAD/eX9E=")</f>
        <v>#VALUE!</v>
      </c>
      <c r="HC1" t="e">
        <f>AND(přední!O8,"AAAAAD/eX9I=")</f>
        <v>#VALUE!</v>
      </c>
      <c r="HD1" t="e">
        <f>AND(přední!P8,"AAAAAD/eX9M=")</f>
        <v>#VALUE!</v>
      </c>
      <c r="HE1" t="e">
        <f>AND(přední!Q8,"AAAAAD/eX9Q=")</f>
        <v>#VALUE!</v>
      </c>
      <c r="HF1" t="e">
        <f>AND(přední!R8,"AAAAAD/eX9U=")</f>
        <v>#VALUE!</v>
      </c>
      <c r="HG1" t="e">
        <f>AND(přední!S8,"AAAAAD/eX9Y=")</f>
        <v>#VALUE!</v>
      </c>
      <c r="HH1" t="e">
        <f>AND(přední!T8,"AAAAAD/eX9c=")</f>
        <v>#VALUE!</v>
      </c>
      <c r="HI1" t="e">
        <f>AND(přední!U8,"AAAAAD/eX9g=")</f>
        <v>#VALUE!</v>
      </c>
      <c r="HJ1" t="e">
        <f>AND(přední!V8,"AAAAAD/eX9k=")</f>
        <v>#VALUE!</v>
      </c>
      <c r="HK1" t="e">
        <f>AND(přední!W8,"AAAAAD/eX9o=")</f>
        <v>#VALUE!</v>
      </c>
      <c r="HL1" t="e">
        <f>AND(přední!X8,"AAAAAD/eX9s=")</f>
        <v>#VALUE!</v>
      </c>
      <c r="HM1" t="e">
        <f>AND(přední!Y8,"AAAAAD/eX9w=")</f>
        <v>#VALUE!</v>
      </c>
      <c r="HN1" t="e">
        <f>AND(přední!Z8,"AAAAAD/eX90=")</f>
        <v>#VALUE!</v>
      </c>
      <c r="HO1" t="e">
        <f>AND(přední!AA8,"AAAAAD/eX94=")</f>
        <v>#VALUE!</v>
      </c>
      <c r="HP1" t="e">
        <f>AND(přední!AB8,"AAAAAD/eX98=")</f>
        <v>#VALUE!</v>
      </c>
      <c r="HQ1">
        <f>IF(přední!9:9,"AAAAAD/eX+A=",0)</f>
        <v>0</v>
      </c>
      <c r="HR1" t="e">
        <f>AND(přední!B9,"AAAAAD/eX+E=")</f>
        <v>#VALUE!</v>
      </c>
      <c r="HS1" t="e">
        <f>AND(přední!C9,"AAAAAD/eX+I=")</f>
        <v>#VALUE!</v>
      </c>
      <c r="HT1" t="e">
        <f>AND(přední!D9,"AAAAAD/eX+M=")</f>
        <v>#VALUE!</v>
      </c>
      <c r="HU1" t="e">
        <f>AND(přední!E9,"AAAAAD/eX+Q=")</f>
        <v>#VALUE!</v>
      </c>
      <c r="HV1" t="e">
        <f>AND(přední!F9,"AAAAAD/eX+U=")</f>
        <v>#VALUE!</v>
      </c>
      <c r="HW1" t="e">
        <f>AND(přední!G9,"AAAAAD/eX+Y=")</f>
        <v>#VALUE!</v>
      </c>
      <c r="HX1" t="e">
        <f>AND(přední!H9,"AAAAAD/eX+c=")</f>
        <v>#VALUE!</v>
      </c>
      <c r="HY1" t="e">
        <f>AND(přední!I9,"AAAAAD/eX+g=")</f>
        <v>#VALUE!</v>
      </c>
      <c r="HZ1" t="e">
        <f>AND(přední!J9,"AAAAAD/eX+k=")</f>
        <v>#VALUE!</v>
      </c>
      <c r="IA1" t="e">
        <f>AND(přední!K9,"AAAAAD/eX+o=")</f>
        <v>#VALUE!</v>
      </c>
      <c r="IB1" t="e">
        <f>AND(přední!L9,"AAAAAD/eX+s=")</f>
        <v>#VALUE!</v>
      </c>
      <c r="IC1" t="e">
        <f>AND(přední!M9,"AAAAAD/eX+w=")</f>
        <v>#VALUE!</v>
      </c>
      <c r="ID1" t="e">
        <f>AND(přední!N9,"AAAAAD/eX+0=")</f>
        <v>#VALUE!</v>
      </c>
      <c r="IE1" t="e">
        <f>AND(přední!O9,"AAAAAD/eX+4=")</f>
        <v>#VALUE!</v>
      </c>
      <c r="IF1" t="e">
        <f>AND(přední!P9,"AAAAAD/eX+8=")</f>
        <v>#VALUE!</v>
      </c>
      <c r="IG1" t="e">
        <f>AND(přední!Q9,"AAAAAD/eX/A=")</f>
        <v>#VALUE!</v>
      </c>
      <c r="IH1" t="e">
        <f>AND(přední!R9,"AAAAAD/eX/E=")</f>
        <v>#VALUE!</v>
      </c>
      <c r="II1" t="e">
        <f>AND(přední!S9,"AAAAAD/eX/I=")</f>
        <v>#VALUE!</v>
      </c>
      <c r="IJ1" t="e">
        <f>AND(přední!T9,"AAAAAD/eX/M=")</f>
        <v>#VALUE!</v>
      </c>
      <c r="IK1" t="e">
        <f>AND(přední!U9,"AAAAAD/eX/Q=")</f>
        <v>#VALUE!</v>
      </c>
      <c r="IL1" t="e">
        <f>AND(přední!V9,"AAAAAD/eX/U=")</f>
        <v>#VALUE!</v>
      </c>
      <c r="IM1" t="e">
        <f>AND(přední!W9,"AAAAAD/eX/Y=")</f>
        <v>#VALUE!</v>
      </c>
      <c r="IN1" t="e">
        <f>AND(přední!X9,"AAAAAD/eX/c=")</f>
        <v>#VALUE!</v>
      </c>
      <c r="IO1" t="e">
        <f>AND(přední!Y9,"AAAAAD/eX/g=")</f>
        <v>#VALUE!</v>
      </c>
      <c r="IP1" t="e">
        <f>AND(přední!Z9,"AAAAAD/eX/k=")</f>
        <v>#VALUE!</v>
      </c>
      <c r="IQ1" t="e">
        <f>AND(přední!AA9,"AAAAAD/eX/o=")</f>
        <v>#VALUE!</v>
      </c>
      <c r="IR1" t="e">
        <f>AND(přední!AB9,"AAAAAD/eX/s=")</f>
        <v>#VALUE!</v>
      </c>
      <c r="IS1">
        <f>IF(přední!10:10,"AAAAAD/eX/w=",0)</f>
        <v>0</v>
      </c>
      <c r="IT1" t="e">
        <f>AND(přední!B10,"AAAAAD/eX/0=")</f>
        <v>#VALUE!</v>
      </c>
      <c r="IU1" t="e">
        <f>AND(přední!C10,"AAAAAD/eX/4=")</f>
        <v>#VALUE!</v>
      </c>
      <c r="IV1" t="e">
        <f>AND(přední!D10,"AAAAAD/eX/8=")</f>
        <v>#VALUE!</v>
      </c>
    </row>
    <row r="2" spans="1:256" ht="12.75">
      <c r="A2" t="e">
        <f>AND(přední!E10,"AAAAAH/f/wA=")</f>
        <v>#VALUE!</v>
      </c>
      <c r="B2" t="e">
        <f>AND(přední!F10,"AAAAAH/f/wE=")</f>
        <v>#VALUE!</v>
      </c>
      <c r="C2" t="e">
        <f>AND(přední!G10,"AAAAAH/f/wI=")</f>
        <v>#VALUE!</v>
      </c>
      <c r="D2" t="e">
        <f>AND(přední!H10,"AAAAAH/f/wM=")</f>
        <v>#VALUE!</v>
      </c>
      <c r="E2" t="e">
        <f>AND(přední!I10,"AAAAAH/f/wQ=")</f>
        <v>#VALUE!</v>
      </c>
      <c r="F2" t="e">
        <f>AND(přední!J10,"AAAAAH/f/wU=")</f>
        <v>#VALUE!</v>
      </c>
      <c r="G2" t="e">
        <f>AND(přední!K10,"AAAAAH/f/wY=")</f>
        <v>#VALUE!</v>
      </c>
      <c r="H2" t="e">
        <f>AND(přední!L10,"AAAAAH/f/wc=")</f>
        <v>#VALUE!</v>
      </c>
      <c r="I2" t="e">
        <f>AND(přední!M10,"AAAAAH/f/wg=")</f>
        <v>#VALUE!</v>
      </c>
      <c r="J2" t="e">
        <f>AND(přední!N10,"AAAAAH/f/wk=")</f>
        <v>#VALUE!</v>
      </c>
      <c r="K2" t="e">
        <f>AND(přední!O10,"AAAAAH/f/wo=")</f>
        <v>#VALUE!</v>
      </c>
      <c r="L2" t="e">
        <f>AND(přední!P10,"AAAAAH/f/ws=")</f>
        <v>#VALUE!</v>
      </c>
      <c r="M2" t="e">
        <f>AND(přední!Q10,"AAAAAH/f/ww=")</f>
        <v>#VALUE!</v>
      </c>
      <c r="N2" t="e">
        <f>AND(přední!R10,"AAAAAH/f/w0=")</f>
        <v>#VALUE!</v>
      </c>
      <c r="O2" t="e">
        <f>AND(přední!S10,"AAAAAH/f/w4=")</f>
        <v>#VALUE!</v>
      </c>
      <c r="P2" t="e">
        <f>AND(přední!T10,"AAAAAH/f/w8=")</f>
        <v>#VALUE!</v>
      </c>
      <c r="Q2" t="e">
        <f>AND(přední!U10,"AAAAAH/f/xA=")</f>
        <v>#VALUE!</v>
      </c>
      <c r="R2" t="e">
        <f>AND(přední!V10,"AAAAAH/f/xE=")</f>
        <v>#VALUE!</v>
      </c>
      <c r="S2" t="e">
        <f>AND(přední!W10,"AAAAAH/f/xI=")</f>
        <v>#VALUE!</v>
      </c>
      <c r="T2" t="e">
        <f>AND(přední!X10,"AAAAAH/f/xM=")</f>
        <v>#VALUE!</v>
      </c>
      <c r="U2" t="e">
        <f>AND(přední!Y10,"AAAAAH/f/xQ=")</f>
        <v>#VALUE!</v>
      </c>
      <c r="V2" t="e">
        <f>AND(přední!Z10,"AAAAAH/f/xU=")</f>
        <v>#VALUE!</v>
      </c>
      <c r="W2" t="e">
        <f>AND(přední!AA10,"AAAAAH/f/xY=")</f>
        <v>#VALUE!</v>
      </c>
      <c r="X2" t="e">
        <f>AND(přední!AB10,"AAAAAH/f/xc=")</f>
        <v>#VALUE!</v>
      </c>
      <c r="Y2">
        <f>IF(přední!11:11,"AAAAAH/f/xg=",0)</f>
        <v>0</v>
      </c>
      <c r="Z2" t="e">
        <f>AND(přední!B11,"AAAAAH/f/xk=")</f>
        <v>#VALUE!</v>
      </c>
      <c r="AA2" t="e">
        <f>AND(přední!C11,"AAAAAH/f/xo=")</f>
        <v>#VALUE!</v>
      </c>
      <c r="AB2" t="e">
        <f>AND(přední!D11,"AAAAAH/f/xs=")</f>
        <v>#VALUE!</v>
      </c>
      <c r="AC2" t="e">
        <f>AND(přední!E11,"AAAAAH/f/xw=")</f>
        <v>#VALUE!</v>
      </c>
      <c r="AD2" t="e">
        <f>AND(přední!F11,"AAAAAH/f/x0=")</f>
        <v>#VALUE!</v>
      </c>
      <c r="AE2" t="e">
        <f>AND(přední!G11,"AAAAAH/f/x4=")</f>
        <v>#VALUE!</v>
      </c>
      <c r="AF2" t="e">
        <f>AND(přední!H11,"AAAAAH/f/x8=")</f>
        <v>#VALUE!</v>
      </c>
      <c r="AG2" t="e">
        <f>AND(přední!I11,"AAAAAH/f/yA=")</f>
        <v>#VALUE!</v>
      </c>
      <c r="AH2" t="e">
        <f>AND(přední!J11,"AAAAAH/f/yE=")</f>
        <v>#VALUE!</v>
      </c>
      <c r="AI2" t="e">
        <f>AND(přední!K11,"AAAAAH/f/yI=")</f>
        <v>#VALUE!</v>
      </c>
      <c r="AJ2" t="e">
        <f>AND(přední!L11,"AAAAAH/f/yM=")</f>
        <v>#VALUE!</v>
      </c>
      <c r="AK2" t="e">
        <f>AND(přední!M11,"AAAAAH/f/yQ=")</f>
        <v>#VALUE!</v>
      </c>
      <c r="AL2" t="e">
        <f>AND(přední!N11,"AAAAAH/f/yU=")</f>
        <v>#VALUE!</v>
      </c>
      <c r="AM2" t="e">
        <f>AND(přední!O11,"AAAAAH/f/yY=")</f>
        <v>#VALUE!</v>
      </c>
      <c r="AN2" t="e">
        <f>AND(přední!P11,"AAAAAH/f/yc=")</f>
        <v>#VALUE!</v>
      </c>
      <c r="AO2" t="e">
        <f>AND(přední!Q11,"AAAAAH/f/yg=")</f>
        <v>#VALUE!</v>
      </c>
      <c r="AP2" t="e">
        <f>AND(přední!R11,"AAAAAH/f/yk=")</f>
        <v>#VALUE!</v>
      </c>
      <c r="AQ2" t="e">
        <f>AND(přední!S11,"AAAAAH/f/yo=")</f>
        <v>#VALUE!</v>
      </c>
      <c r="AR2" t="e">
        <f>AND(přední!T11,"AAAAAH/f/ys=")</f>
        <v>#VALUE!</v>
      </c>
      <c r="AS2" t="e">
        <f>AND(přední!U11,"AAAAAH/f/yw=")</f>
        <v>#VALUE!</v>
      </c>
      <c r="AT2" t="e">
        <f>AND(přední!V11,"AAAAAH/f/y0=")</f>
        <v>#VALUE!</v>
      </c>
      <c r="AU2" t="e">
        <f>AND(přední!W11,"AAAAAH/f/y4=")</f>
        <v>#VALUE!</v>
      </c>
      <c r="AV2" t="e">
        <f>AND(přední!X11,"AAAAAH/f/y8=")</f>
        <v>#VALUE!</v>
      </c>
      <c r="AW2" t="e">
        <f>AND(přední!Y11,"AAAAAH/f/zA=")</f>
        <v>#VALUE!</v>
      </c>
      <c r="AX2" t="e">
        <f>AND(přední!Z11,"AAAAAH/f/zE=")</f>
        <v>#VALUE!</v>
      </c>
      <c r="AY2" t="e">
        <f>AND(přední!AA11,"AAAAAH/f/zI=")</f>
        <v>#VALUE!</v>
      </c>
      <c r="AZ2" t="e">
        <f>AND(přední!AB11,"AAAAAH/f/zM=")</f>
        <v>#VALUE!</v>
      </c>
      <c r="BA2">
        <f>IF(přední!12:12,"AAAAAH/f/zQ=",0)</f>
        <v>0</v>
      </c>
      <c r="BB2" t="e">
        <f>AND(přední!B12,"AAAAAH/f/zU=")</f>
        <v>#VALUE!</v>
      </c>
      <c r="BC2" t="e">
        <f>AND(přední!C12,"AAAAAH/f/zY=")</f>
        <v>#VALUE!</v>
      </c>
      <c r="BD2" t="e">
        <f>AND(přední!D12,"AAAAAH/f/zc=")</f>
        <v>#VALUE!</v>
      </c>
      <c r="BE2" t="e">
        <f>AND(přední!E12,"AAAAAH/f/zg=")</f>
        <v>#VALUE!</v>
      </c>
      <c r="BF2" t="e">
        <f>AND(přední!F12,"AAAAAH/f/zk=")</f>
        <v>#VALUE!</v>
      </c>
      <c r="BG2" t="e">
        <f>AND(přední!G12,"AAAAAH/f/zo=")</f>
        <v>#VALUE!</v>
      </c>
      <c r="BH2" t="e">
        <f>AND(přední!H12,"AAAAAH/f/zs=")</f>
        <v>#VALUE!</v>
      </c>
      <c r="BI2" t="e">
        <f>AND(přední!I12,"AAAAAH/f/zw=")</f>
        <v>#VALUE!</v>
      </c>
      <c r="BJ2" t="e">
        <f>AND(přední!J12,"AAAAAH/f/z0=")</f>
        <v>#VALUE!</v>
      </c>
      <c r="BK2" t="e">
        <f>AND(přední!K12,"AAAAAH/f/z4=")</f>
        <v>#VALUE!</v>
      </c>
      <c r="BL2" t="e">
        <f>AND(přední!L12,"AAAAAH/f/z8=")</f>
        <v>#VALUE!</v>
      </c>
      <c r="BM2" t="e">
        <f>AND(přední!M12,"AAAAAH/f/0A=")</f>
        <v>#VALUE!</v>
      </c>
      <c r="BN2" t="e">
        <f>AND(přední!N12,"AAAAAH/f/0E=")</f>
        <v>#VALUE!</v>
      </c>
      <c r="BO2" t="e">
        <f>AND(přední!O12,"AAAAAH/f/0I=")</f>
        <v>#VALUE!</v>
      </c>
      <c r="BP2" t="e">
        <f>AND(přední!P12,"AAAAAH/f/0M=")</f>
        <v>#VALUE!</v>
      </c>
      <c r="BQ2" t="e">
        <f>AND(přední!Q12,"AAAAAH/f/0Q=")</f>
        <v>#VALUE!</v>
      </c>
      <c r="BR2" t="e">
        <f>AND(přední!R12,"AAAAAH/f/0U=")</f>
        <v>#VALUE!</v>
      </c>
      <c r="BS2" t="e">
        <f>AND(přední!S12,"AAAAAH/f/0Y=")</f>
        <v>#VALUE!</v>
      </c>
      <c r="BT2" t="e">
        <f>AND(přední!T12,"AAAAAH/f/0c=")</f>
        <v>#VALUE!</v>
      </c>
      <c r="BU2" t="e">
        <f>AND(přední!U12,"AAAAAH/f/0g=")</f>
        <v>#VALUE!</v>
      </c>
      <c r="BV2" t="e">
        <f>AND(přední!V12,"AAAAAH/f/0k=")</f>
        <v>#VALUE!</v>
      </c>
      <c r="BW2" t="e">
        <f>AND(přední!W12,"AAAAAH/f/0o=")</f>
        <v>#VALUE!</v>
      </c>
      <c r="BX2" t="e">
        <f>AND(přední!X12,"AAAAAH/f/0s=")</f>
        <v>#VALUE!</v>
      </c>
      <c r="BY2" t="e">
        <f>AND(přední!Y12,"AAAAAH/f/0w=")</f>
        <v>#VALUE!</v>
      </c>
      <c r="BZ2" t="e">
        <f>AND(přední!Z12,"AAAAAH/f/00=")</f>
        <v>#VALUE!</v>
      </c>
      <c r="CA2" t="e">
        <f>AND(přední!AA12,"AAAAAH/f/04=")</f>
        <v>#VALUE!</v>
      </c>
      <c r="CB2" t="e">
        <f>AND(přední!AB12,"AAAAAH/f/08=")</f>
        <v>#VALUE!</v>
      </c>
      <c r="CC2">
        <f>IF(přední!13:13,"AAAAAH/f/1A=",0)</f>
        <v>0</v>
      </c>
      <c r="CD2" t="e">
        <f>AND(přední!B13,"AAAAAH/f/1E=")</f>
        <v>#VALUE!</v>
      </c>
      <c r="CE2" t="e">
        <f>AND(přední!C13,"AAAAAH/f/1I=")</f>
        <v>#VALUE!</v>
      </c>
      <c r="CF2" t="e">
        <f>AND(přední!D13,"AAAAAH/f/1M=")</f>
        <v>#VALUE!</v>
      </c>
      <c r="CG2" t="e">
        <f>AND(přední!E13,"AAAAAH/f/1Q=")</f>
        <v>#VALUE!</v>
      </c>
      <c r="CH2" t="e">
        <f>AND(přední!F13,"AAAAAH/f/1U=")</f>
        <v>#VALUE!</v>
      </c>
      <c r="CI2" t="e">
        <f>AND(přední!G13,"AAAAAH/f/1Y=")</f>
        <v>#VALUE!</v>
      </c>
      <c r="CJ2" t="e">
        <f>AND(přední!H13,"AAAAAH/f/1c=")</f>
        <v>#VALUE!</v>
      </c>
      <c r="CK2" t="e">
        <f>AND(přední!I13,"AAAAAH/f/1g=")</f>
        <v>#VALUE!</v>
      </c>
      <c r="CL2" t="e">
        <f>AND(přední!J13,"AAAAAH/f/1k=")</f>
        <v>#VALUE!</v>
      </c>
      <c r="CM2" t="e">
        <f>AND(přední!K13,"AAAAAH/f/1o=")</f>
        <v>#VALUE!</v>
      </c>
      <c r="CN2" t="e">
        <f>AND(přední!L13,"AAAAAH/f/1s=")</f>
        <v>#VALUE!</v>
      </c>
      <c r="CO2" t="e">
        <f>AND(přední!M13,"AAAAAH/f/1w=")</f>
        <v>#VALUE!</v>
      </c>
      <c r="CP2" t="e">
        <f>AND(přední!N13,"AAAAAH/f/10=")</f>
        <v>#VALUE!</v>
      </c>
      <c r="CQ2" t="e">
        <f>AND(přední!O13,"AAAAAH/f/14=")</f>
        <v>#VALUE!</v>
      </c>
      <c r="CR2" t="e">
        <f>AND(přední!P13,"AAAAAH/f/18=")</f>
        <v>#VALUE!</v>
      </c>
      <c r="CS2" t="e">
        <f>AND(přední!Q13,"AAAAAH/f/2A=")</f>
        <v>#VALUE!</v>
      </c>
      <c r="CT2" t="e">
        <f>AND(přední!R13,"AAAAAH/f/2E=")</f>
        <v>#VALUE!</v>
      </c>
      <c r="CU2" t="e">
        <f>AND(přední!S13,"AAAAAH/f/2I=")</f>
        <v>#VALUE!</v>
      </c>
      <c r="CV2" t="e">
        <f>AND(přední!T13,"AAAAAH/f/2M=")</f>
        <v>#VALUE!</v>
      </c>
      <c r="CW2" t="e">
        <f>AND(přední!U13,"AAAAAH/f/2Q=")</f>
        <v>#VALUE!</v>
      </c>
      <c r="CX2" t="e">
        <f>AND(přední!V13,"AAAAAH/f/2U=")</f>
        <v>#VALUE!</v>
      </c>
      <c r="CY2" t="e">
        <f>AND(přední!W13,"AAAAAH/f/2Y=")</f>
        <v>#VALUE!</v>
      </c>
      <c r="CZ2" t="e">
        <f>AND(přední!X13,"AAAAAH/f/2c=")</f>
        <v>#VALUE!</v>
      </c>
      <c r="DA2" t="e">
        <f>AND(přední!Y13,"AAAAAH/f/2g=")</f>
        <v>#VALUE!</v>
      </c>
      <c r="DB2" t="e">
        <f>AND(přední!Z13,"AAAAAH/f/2k=")</f>
        <v>#VALUE!</v>
      </c>
      <c r="DC2" t="e">
        <f>AND(přední!AA13,"AAAAAH/f/2o=")</f>
        <v>#VALUE!</v>
      </c>
      <c r="DD2" t="e">
        <f>AND(přední!AB13,"AAAAAH/f/2s=")</f>
        <v>#VALUE!</v>
      </c>
      <c r="DE2">
        <f>IF(přední!14:14,"AAAAAH/f/2w=",0)</f>
        <v>0</v>
      </c>
      <c r="DF2" t="e">
        <f>AND(přední!B14,"AAAAAH/f/20=")</f>
        <v>#VALUE!</v>
      </c>
      <c r="DG2" t="e">
        <f>AND(přední!C14,"AAAAAH/f/24=")</f>
        <v>#VALUE!</v>
      </c>
      <c r="DH2" t="e">
        <f>AND(přední!D14,"AAAAAH/f/28=")</f>
        <v>#VALUE!</v>
      </c>
      <c r="DI2" t="e">
        <f>AND(přední!E14,"AAAAAH/f/3A=")</f>
        <v>#VALUE!</v>
      </c>
      <c r="DJ2" t="e">
        <f>AND(přední!F14,"AAAAAH/f/3E=")</f>
        <v>#VALUE!</v>
      </c>
      <c r="DK2" t="e">
        <f>AND(přední!G14,"AAAAAH/f/3I=")</f>
        <v>#VALUE!</v>
      </c>
      <c r="DL2" t="e">
        <f>AND(přední!H14,"AAAAAH/f/3M=")</f>
        <v>#VALUE!</v>
      </c>
      <c r="DM2" t="e">
        <f>AND(přední!I14,"AAAAAH/f/3Q=")</f>
        <v>#VALUE!</v>
      </c>
      <c r="DN2" t="e">
        <f>AND(přední!J14,"AAAAAH/f/3U=")</f>
        <v>#VALUE!</v>
      </c>
      <c r="DO2" t="e">
        <f>AND(přední!K14,"AAAAAH/f/3Y=")</f>
        <v>#VALUE!</v>
      </c>
      <c r="DP2" t="e">
        <f>AND(přední!L14,"AAAAAH/f/3c=")</f>
        <v>#VALUE!</v>
      </c>
      <c r="DQ2" t="e">
        <f>AND(přední!M14,"AAAAAH/f/3g=")</f>
        <v>#VALUE!</v>
      </c>
      <c r="DR2" t="e">
        <f>AND(přední!N14,"AAAAAH/f/3k=")</f>
        <v>#VALUE!</v>
      </c>
      <c r="DS2" t="e">
        <f>AND(přední!O14,"AAAAAH/f/3o=")</f>
        <v>#VALUE!</v>
      </c>
      <c r="DT2" t="e">
        <f>AND(přední!P14,"AAAAAH/f/3s=")</f>
        <v>#VALUE!</v>
      </c>
      <c r="DU2" t="e">
        <f>AND(přední!Q14,"AAAAAH/f/3w=")</f>
        <v>#VALUE!</v>
      </c>
      <c r="DV2" t="e">
        <f>AND(přední!R14,"AAAAAH/f/30=")</f>
        <v>#VALUE!</v>
      </c>
      <c r="DW2" t="e">
        <f>AND(přední!S14,"AAAAAH/f/34=")</f>
        <v>#VALUE!</v>
      </c>
      <c r="DX2" t="e">
        <f>AND(přední!T14,"AAAAAH/f/38=")</f>
        <v>#VALUE!</v>
      </c>
      <c r="DY2" t="e">
        <f>AND(přední!U14,"AAAAAH/f/4A=")</f>
        <v>#VALUE!</v>
      </c>
      <c r="DZ2" t="e">
        <f>AND(přední!V14,"AAAAAH/f/4E=")</f>
        <v>#VALUE!</v>
      </c>
      <c r="EA2" t="e">
        <f>AND(přední!W14,"AAAAAH/f/4I=")</f>
        <v>#VALUE!</v>
      </c>
      <c r="EB2" t="e">
        <f>AND(přední!X14,"AAAAAH/f/4M=")</f>
        <v>#VALUE!</v>
      </c>
      <c r="EC2" t="e">
        <f>AND(přední!Y14,"AAAAAH/f/4Q=")</f>
        <v>#VALUE!</v>
      </c>
      <c r="ED2" t="e">
        <f>AND(přední!Z14,"AAAAAH/f/4U=")</f>
        <v>#VALUE!</v>
      </c>
      <c r="EE2" t="e">
        <f>AND(přední!AA14,"AAAAAH/f/4Y=")</f>
        <v>#VALUE!</v>
      </c>
      <c r="EF2" t="e">
        <f>AND(přední!AB14,"AAAAAH/f/4c=")</f>
        <v>#VALUE!</v>
      </c>
      <c r="EG2">
        <f>IF(přední!15:15,"AAAAAH/f/4g=",0)</f>
        <v>0</v>
      </c>
      <c r="EH2" t="e">
        <f>AND(přední!B15,"AAAAAH/f/4k=")</f>
        <v>#VALUE!</v>
      </c>
      <c r="EI2" t="e">
        <f>AND(přední!C15,"AAAAAH/f/4o=")</f>
        <v>#VALUE!</v>
      </c>
      <c r="EJ2" t="e">
        <f>AND(přední!D15,"AAAAAH/f/4s=")</f>
        <v>#VALUE!</v>
      </c>
      <c r="EK2" t="e">
        <f>AND(přední!E15,"AAAAAH/f/4w=")</f>
        <v>#VALUE!</v>
      </c>
      <c r="EL2" t="e">
        <f>AND(přední!F15,"AAAAAH/f/40=")</f>
        <v>#VALUE!</v>
      </c>
      <c r="EM2" t="e">
        <f>AND(přední!G15,"AAAAAH/f/44=")</f>
        <v>#VALUE!</v>
      </c>
      <c r="EN2" t="e">
        <f>AND(přední!H15,"AAAAAH/f/48=")</f>
        <v>#VALUE!</v>
      </c>
      <c r="EO2" t="e">
        <f>AND(přední!I15,"AAAAAH/f/5A=")</f>
        <v>#VALUE!</v>
      </c>
      <c r="EP2" t="e">
        <f>AND(přední!J15,"AAAAAH/f/5E=")</f>
        <v>#VALUE!</v>
      </c>
      <c r="EQ2" t="e">
        <f>AND(přední!K15,"AAAAAH/f/5I=")</f>
        <v>#VALUE!</v>
      </c>
      <c r="ER2" t="e">
        <f>AND(přední!L15,"AAAAAH/f/5M=")</f>
        <v>#VALUE!</v>
      </c>
      <c r="ES2" t="e">
        <f>AND(přední!M15,"AAAAAH/f/5Q=")</f>
        <v>#VALUE!</v>
      </c>
      <c r="ET2" t="e">
        <f>AND(přední!N15,"AAAAAH/f/5U=")</f>
        <v>#VALUE!</v>
      </c>
      <c r="EU2" t="e">
        <f>AND(přední!O15,"AAAAAH/f/5Y=")</f>
        <v>#VALUE!</v>
      </c>
      <c r="EV2" t="e">
        <f>AND(přední!P15,"AAAAAH/f/5c=")</f>
        <v>#VALUE!</v>
      </c>
      <c r="EW2" t="e">
        <f>AND(přední!Q15,"AAAAAH/f/5g=")</f>
        <v>#VALUE!</v>
      </c>
      <c r="EX2" t="e">
        <f>AND(přední!R15,"AAAAAH/f/5k=")</f>
        <v>#VALUE!</v>
      </c>
      <c r="EY2" t="e">
        <f>AND(přední!S15,"AAAAAH/f/5o=")</f>
        <v>#VALUE!</v>
      </c>
      <c r="EZ2" t="e">
        <f>AND(přední!T15,"AAAAAH/f/5s=")</f>
        <v>#VALUE!</v>
      </c>
      <c r="FA2" t="e">
        <f>AND(přední!U15,"AAAAAH/f/5w=")</f>
        <v>#VALUE!</v>
      </c>
      <c r="FB2" t="e">
        <f>AND(přední!V15,"AAAAAH/f/50=")</f>
        <v>#VALUE!</v>
      </c>
      <c r="FC2" t="e">
        <f>AND(přední!W15,"AAAAAH/f/54=")</f>
        <v>#VALUE!</v>
      </c>
      <c r="FD2" t="e">
        <f>AND(přední!X15,"AAAAAH/f/58=")</f>
        <v>#VALUE!</v>
      </c>
      <c r="FE2" t="e">
        <f>AND(přední!Y15,"AAAAAH/f/6A=")</f>
        <v>#VALUE!</v>
      </c>
      <c r="FF2" t="e">
        <f>AND(přední!Z15,"AAAAAH/f/6E=")</f>
        <v>#VALUE!</v>
      </c>
      <c r="FG2" t="e">
        <f>AND(přední!AA15,"AAAAAH/f/6I=")</f>
        <v>#VALUE!</v>
      </c>
      <c r="FH2" t="e">
        <f>AND(přední!AB15,"AAAAAH/f/6M=")</f>
        <v>#VALUE!</v>
      </c>
      <c r="FI2">
        <f>IF(přední!16:16,"AAAAAH/f/6Q=",0)</f>
        <v>0</v>
      </c>
      <c r="FJ2" t="e">
        <f>AND(přední!B16,"AAAAAH/f/6U=")</f>
        <v>#VALUE!</v>
      </c>
      <c r="FK2" t="e">
        <f>AND(přední!C16,"AAAAAH/f/6Y=")</f>
        <v>#VALUE!</v>
      </c>
      <c r="FL2" t="e">
        <f>AND(přední!D16,"AAAAAH/f/6c=")</f>
        <v>#VALUE!</v>
      </c>
      <c r="FM2" t="e">
        <f>AND(přední!E16,"AAAAAH/f/6g=")</f>
        <v>#VALUE!</v>
      </c>
      <c r="FN2" t="e">
        <f>AND(přední!F16,"AAAAAH/f/6k=")</f>
        <v>#VALUE!</v>
      </c>
      <c r="FO2" t="e">
        <f>AND(přední!G16,"AAAAAH/f/6o=")</f>
        <v>#VALUE!</v>
      </c>
      <c r="FP2" t="e">
        <f>AND(přední!H16,"AAAAAH/f/6s=")</f>
        <v>#VALUE!</v>
      </c>
      <c r="FQ2" t="e">
        <f>AND(přední!I16,"AAAAAH/f/6w=")</f>
        <v>#VALUE!</v>
      </c>
      <c r="FR2" t="e">
        <f>AND(přední!J16,"AAAAAH/f/60=")</f>
        <v>#VALUE!</v>
      </c>
      <c r="FS2" t="e">
        <f>AND(přední!K16,"AAAAAH/f/64=")</f>
        <v>#VALUE!</v>
      </c>
      <c r="FT2" t="e">
        <f>AND(přední!L16,"AAAAAH/f/68=")</f>
        <v>#VALUE!</v>
      </c>
      <c r="FU2" t="e">
        <f>AND(přední!M16,"AAAAAH/f/7A=")</f>
        <v>#VALUE!</v>
      </c>
      <c r="FV2" t="e">
        <f>AND(přední!N16,"AAAAAH/f/7E=")</f>
        <v>#VALUE!</v>
      </c>
      <c r="FW2" t="e">
        <f>AND(přední!O16,"AAAAAH/f/7I=")</f>
        <v>#VALUE!</v>
      </c>
      <c r="FX2" t="e">
        <f>AND(přední!P16,"AAAAAH/f/7M=")</f>
        <v>#VALUE!</v>
      </c>
      <c r="FY2" t="e">
        <f>AND(přední!Q16,"AAAAAH/f/7Q=")</f>
        <v>#VALUE!</v>
      </c>
      <c r="FZ2" t="e">
        <f>AND(přední!R16,"AAAAAH/f/7U=")</f>
        <v>#VALUE!</v>
      </c>
      <c r="GA2" t="e">
        <f>AND(přední!S16,"AAAAAH/f/7Y=")</f>
        <v>#VALUE!</v>
      </c>
      <c r="GB2" t="e">
        <f>AND(přední!T16,"AAAAAH/f/7c=")</f>
        <v>#VALUE!</v>
      </c>
      <c r="GC2" t="e">
        <f>AND(přední!U16,"AAAAAH/f/7g=")</f>
        <v>#VALUE!</v>
      </c>
      <c r="GD2" t="e">
        <f>AND(přední!V16,"AAAAAH/f/7k=")</f>
        <v>#VALUE!</v>
      </c>
      <c r="GE2" t="e">
        <f>AND(přední!W16,"AAAAAH/f/7o=")</f>
        <v>#VALUE!</v>
      </c>
      <c r="GF2" t="e">
        <f>AND(přední!X16,"AAAAAH/f/7s=")</f>
        <v>#VALUE!</v>
      </c>
      <c r="GG2" t="e">
        <f>AND(přední!Y16,"AAAAAH/f/7w=")</f>
        <v>#VALUE!</v>
      </c>
      <c r="GH2" t="e">
        <f>AND(přední!Z16,"AAAAAH/f/70=")</f>
        <v>#VALUE!</v>
      </c>
      <c r="GI2" t="e">
        <f>AND(přední!AA16,"AAAAAH/f/74=")</f>
        <v>#VALUE!</v>
      </c>
      <c r="GJ2" t="e">
        <f>AND(přední!AB16,"AAAAAH/f/78=")</f>
        <v>#VALUE!</v>
      </c>
      <c r="GK2">
        <f>IF(přední!17:17,"AAAAAH/f/8A=",0)</f>
        <v>0</v>
      </c>
      <c r="GL2" t="e">
        <f>AND(přední!B17,"AAAAAH/f/8E=")</f>
        <v>#VALUE!</v>
      </c>
      <c r="GM2" t="e">
        <f>AND(přední!C17,"AAAAAH/f/8I=")</f>
        <v>#VALUE!</v>
      </c>
      <c r="GN2" t="e">
        <f>AND(přední!D17,"AAAAAH/f/8M=")</f>
        <v>#VALUE!</v>
      </c>
      <c r="GO2" t="e">
        <f>AND(přední!E17,"AAAAAH/f/8Q=")</f>
        <v>#VALUE!</v>
      </c>
      <c r="GP2" t="e">
        <f>AND(přední!F17,"AAAAAH/f/8U=")</f>
        <v>#VALUE!</v>
      </c>
      <c r="GQ2" t="e">
        <f>AND(přední!G17,"AAAAAH/f/8Y=")</f>
        <v>#VALUE!</v>
      </c>
      <c r="GR2" t="e">
        <f>AND(přední!H17,"AAAAAH/f/8c=")</f>
        <v>#VALUE!</v>
      </c>
      <c r="GS2" t="e">
        <f>AND(přední!I17,"AAAAAH/f/8g=")</f>
        <v>#VALUE!</v>
      </c>
      <c r="GT2" t="e">
        <f>AND(přední!J17,"AAAAAH/f/8k=")</f>
        <v>#VALUE!</v>
      </c>
      <c r="GU2" t="e">
        <f>AND(přední!K17,"AAAAAH/f/8o=")</f>
        <v>#VALUE!</v>
      </c>
      <c r="GV2" t="e">
        <f>AND(přední!L17,"AAAAAH/f/8s=")</f>
        <v>#VALUE!</v>
      </c>
      <c r="GW2" t="e">
        <f>AND(přední!M17,"AAAAAH/f/8w=")</f>
        <v>#VALUE!</v>
      </c>
      <c r="GX2" t="e">
        <f>AND(přední!N17,"AAAAAH/f/80=")</f>
        <v>#VALUE!</v>
      </c>
      <c r="GY2" t="e">
        <f>AND(přední!O17,"AAAAAH/f/84=")</f>
        <v>#VALUE!</v>
      </c>
      <c r="GZ2" t="e">
        <f>AND(přední!P17,"AAAAAH/f/88=")</f>
        <v>#VALUE!</v>
      </c>
      <c r="HA2" t="e">
        <f>AND(přední!Q17,"AAAAAH/f/9A=")</f>
        <v>#VALUE!</v>
      </c>
      <c r="HB2" t="e">
        <f>AND(přední!R17,"AAAAAH/f/9E=")</f>
        <v>#VALUE!</v>
      </c>
      <c r="HC2" t="e">
        <f>AND(přední!S17,"AAAAAH/f/9I=")</f>
        <v>#VALUE!</v>
      </c>
      <c r="HD2" t="e">
        <f>AND(přední!T17,"AAAAAH/f/9M=")</f>
        <v>#VALUE!</v>
      </c>
      <c r="HE2" t="e">
        <f>AND(přední!U17,"AAAAAH/f/9Q=")</f>
        <v>#VALUE!</v>
      </c>
      <c r="HF2" t="e">
        <f>AND(přední!V17,"AAAAAH/f/9U=")</f>
        <v>#VALUE!</v>
      </c>
      <c r="HG2" t="e">
        <f>AND(přední!W17,"AAAAAH/f/9Y=")</f>
        <v>#VALUE!</v>
      </c>
      <c r="HH2" t="e">
        <f>AND(přední!X17,"AAAAAH/f/9c=")</f>
        <v>#VALUE!</v>
      </c>
      <c r="HI2" t="e">
        <f>AND(přední!Y17,"AAAAAH/f/9g=")</f>
        <v>#VALUE!</v>
      </c>
      <c r="HJ2" t="e">
        <f>AND(přední!Z17,"AAAAAH/f/9k=")</f>
        <v>#VALUE!</v>
      </c>
      <c r="HK2" t="e">
        <f>AND(přední!AA17,"AAAAAH/f/9o=")</f>
        <v>#VALUE!</v>
      </c>
      <c r="HL2" t="e">
        <f>AND(přední!AB17,"AAAAAH/f/9s=")</f>
        <v>#VALUE!</v>
      </c>
      <c r="HM2">
        <f>IF(přední!18:18,"AAAAAH/f/9w=",0)</f>
        <v>0</v>
      </c>
      <c r="HN2" t="e">
        <f>AND(přední!B18,"AAAAAH/f/90=")</f>
        <v>#VALUE!</v>
      </c>
      <c r="HO2" t="e">
        <f>AND(přední!C18,"AAAAAH/f/94=")</f>
        <v>#VALUE!</v>
      </c>
      <c r="HP2" t="e">
        <f>AND(přední!D18,"AAAAAH/f/98=")</f>
        <v>#VALUE!</v>
      </c>
      <c r="HQ2" t="e">
        <f>AND(přední!E18,"AAAAAH/f/+A=")</f>
        <v>#VALUE!</v>
      </c>
      <c r="HR2" t="e">
        <f>AND(přední!F18,"AAAAAH/f/+E=")</f>
        <v>#VALUE!</v>
      </c>
      <c r="HS2" t="e">
        <f>AND(přední!G18,"AAAAAH/f/+I=")</f>
        <v>#VALUE!</v>
      </c>
      <c r="HT2" t="e">
        <f>AND(přední!H18,"AAAAAH/f/+M=")</f>
        <v>#VALUE!</v>
      </c>
      <c r="HU2" t="e">
        <f>AND(přední!I18,"AAAAAH/f/+Q=")</f>
        <v>#VALUE!</v>
      </c>
      <c r="HV2" t="e">
        <f>AND(přední!J18,"AAAAAH/f/+U=")</f>
        <v>#VALUE!</v>
      </c>
      <c r="HW2" t="e">
        <f>AND(přední!K18,"AAAAAH/f/+Y=")</f>
        <v>#VALUE!</v>
      </c>
      <c r="HX2" t="e">
        <f>AND(přední!L18,"AAAAAH/f/+c=")</f>
        <v>#VALUE!</v>
      </c>
      <c r="HY2" t="e">
        <f>AND(přední!M18,"AAAAAH/f/+g=")</f>
        <v>#VALUE!</v>
      </c>
      <c r="HZ2" t="e">
        <f>AND(přední!N18,"AAAAAH/f/+k=")</f>
        <v>#VALUE!</v>
      </c>
      <c r="IA2" t="e">
        <f>AND(přední!O18,"AAAAAH/f/+o=")</f>
        <v>#VALUE!</v>
      </c>
      <c r="IB2" t="e">
        <f>AND(přední!P18,"AAAAAH/f/+s=")</f>
        <v>#VALUE!</v>
      </c>
      <c r="IC2" t="e">
        <f>AND(přední!Q18,"AAAAAH/f/+w=")</f>
        <v>#VALUE!</v>
      </c>
      <c r="ID2" t="e">
        <f>AND(přední!R18,"AAAAAH/f/+0=")</f>
        <v>#VALUE!</v>
      </c>
      <c r="IE2" t="e">
        <f>AND(přední!S18,"AAAAAH/f/+4=")</f>
        <v>#VALUE!</v>
      </c>
      <c r="IF2" t="e">
        <f>AND(přední!T18,"AAAAAH/f/+8=")</f>
        <v>#VALUE!</v>
      </c>
      <c r="IG2" t="e">
        <f>AND(přední!U18,"AAAAAH/f//A=")</f>
        <v>#VALUE!</v>
      </c>
      <c r="IH2" t="e">
        <f>AND(přední!V18,"AAAAAH/f//E=")</f>
        <v>#VALUE!</v>
      </c>
      <c r="II2" t="e">
        <f>AND(přední!W18,"AAAAAH/f//I=")</f>
        <v>#VALUE!</v>
      </c>
      <c r="IJ2" t="e">
        <f>AND(přední!X18,"AAAAAH/f//M=")</f>
        <v>#VALUE!</v>
      </c>
      <c r="IK2" t="e">
        <f>AND(přední!Y18,"AAAAAH/f//Q=")</f>
        <v>#VALUE!</v>
      </c>
      <c r="IL2" t="e">
        <f>AND(přední!Z18,"AAAAAH/f//U=")</f>
        <v>#VALUE!</v>
      </c>
      <c r="IM2" t="e">
        <f>AND(přední!AA18,"AAAAAH/f//Y=")</f>
        <v>#VALUE!</v>
      </c>
      <c r="IN2" t="e">
        <f>AND(přední!AB18,"AAAAAH/f//c=")</f>
        <v>#VALUE!</v>
      </c>
      <c r="IO2">
        <f>IF(přední!19:19,"AAAAAH/f//g=",0)</f>
        <v>0</v>
      </c>
      <c r="IP2" t="e">
        <f>AND(přední!B19,"AAAAAH/f//k=")</f>
        <v>#VALUE!</v>
      </c>
      <c r="IQ2" t="e">
        <f>AND(přední!C19,"AAAAAH/f//o=")</f>
        <v>#VALUE!</v>
      </c>
      <c r="IR2" t="e">
        <f>AND(přední!D19,"AAAAAH/f//s=")</f>
        <v>#VALUE!</v>
      </c>
      <c r="IS2" t="e">
        <f>AND(přední!E19,"AAAAAH/f//w=")</f>
        <v>#VALUE!</v>
      </c>
      <c r="IT2" t="e">
        <f>AND(přední!F19,"AAAAAH/f//0=")</f>
        <v>#VALUE!</v>
      </c>
      <c r="IU2" t="e">
        <f>AND(přední!G19,"AAAAAH/f//4=")</f>
        <v>#VALUE!</v>
      </c>
      <c r="IV2" t="e">
        <f>AND(přední!H19,"AAAAAH/f//8=")</f>
        <v>#VALUE!</v>
      </c>
    </row>
    <row r="3" spans="1:256" ht="12.75">
      <c r="A3" t="e">
        <f>AND(přední!I19,"AAAAAH//9gA=")</f>
        <v>#VALUE!</v>
      </c>
      <c r="B3" t="e">
        <f>AND(přední!J19,"AAAAAH//9gE=")</f>
        <v>#VALUE!</v>
      </c>
      <c r="C3" t="e">
        <f>AND(přední!K19,"AAAAAH//9gI=")</f>
        <v>#VALUE!</v>
      </c>
      <c r="D3" t="e">
        <f>AND(přední!L19,"AAAAAH//9gM=")</f>
        <v>#VALUE!</v>
      </c>
      <c r="E3" t="e">
        <f>AND(přední!M19,"AAAAAH//9gQ=")</f>
        <v>#VALUE!</v>
      </c>
      <c r="F3" t="e">
        <f>AND(přední!N19,"AAAAAH//9gU=")</f>
        <v>#VALUE!</v>
      </c>
      <c r="G3" t="e">
        <f>AND(přední!O19,"AAAAAH//9gY=")</f>
        <v>#VALUE!</v>
      </c>
      <c r="H3" t="e">
        <f>AND(přední!P19,"AAAAAH//9gc=")</f>
        <v>#VALUE!</v>
      </c>
      <c r="I3" t="e">
        <f>AND(přední!Q19,"AAAAAH//9gg=")</f>
        <v>#VALUE!</v>
      </c>
      <c r="J3" t="e">
        <f>AND(přední!R19,"AAAAAH//9gk=")</f>
        <v>#VALUE!</v>
      </c>
      <c r="K3" t="e">
        <f>AND(přední!S19,"AAAAAH//9go=")</f>
        <v>#VALUE!</v>
      </c>
      <c r="L3" t="e">
        <f>AND(přední!T19,"AAAAAH//9gs=")</f>
        <v>#VALUE!</v>
      </c>
      <c r="M3" t="e">
        <f>AND(přední!U19,"AAAAAH//9gw=")</f>
        <v>#VALUE!</v>
      </c>
      <c r="N3" t="e">
        <f>AND(přední!V19,"AAAAAH//9g0=")</f>
        <v>#VALUE!</v>
      </c>
      <c r="O3" t="e">
        <f>AND(přední!W19,"AAAAAH//9g4=")</f>
        <v>#VALUE!</v>
      </c>
      <c r="P3" t="e">
        <f>AND(přední!X19,"AAAAAH//9g8=")</f>
        <v>#VALUE!</v>
      </c>
      <c r="Q3" t="e">
        <f>AND(přední!Y19,"AAAAAH//9hA=")</f>
        <v>#VALUE!</v>
      </c>
      <c r="R3" t="e">
        <f>AND(přední!Z19,"AAAAAH//9hE=")</f>
        <v>#VALUE!</v>
      </c>
      <c r="S3" t="e">
        <f>AND(přední!AA19,"AAAAAH//9hI=")</f>
        <v>#VALUE!</v>
      </c>
      <c r="T3" t="e">
        <f>AND(přední!AB19,"AAAAAH//9hM=")</f>
        <v>#VALUE!</v>
      </c>
      <c r="U3">
        <f>IF(přední!20:20,"AAAAAH//9hQ=",0)</f>
        <v>0</v>
      </c>
      <c r="V3" t="e">
        <f>AND(přední!B20,"AAAAAH//9hU=")</f>
        <v>#VALUE!</v>
      </c>
      <c r="W3" t="e">
        <f>AND(přední!C20,"AAAAAH//9hY=")</f>
        <v>#VALUE!</v>
      </c>
      <c r="X3" t="e">
        <f>AND(přední!D20,"AAAAAH//9hc=")</f>
        <v>#VALUE!</v>
      </c>
      <c r="Y3" t="e">
        <f>AND(přední!E20,"AAAAAH//9hg=")</f>
        <v>#VALUE!</v>
      </c>
      <c r="Z3" t="e">
        <f>AND(přední!F20,"AAAAAH//9hk=")</f>
        <v>#VALUE!</v>
      </c>
      <c r="AA3" t="e">
        <f>AND(přední!G20,"AAAAAH//9ho=")</f>
        <v>#VALUE!</v>
      </c>
      <c r="AB3" t="e">
        <f>AND(přední!H20,"AAAAAH//9hs=")</f>
        <v>#VALUE!</v>
      </c>
      <c r="AC3" t="e">
        <f>AND(přední!I20,"AAAAAH//9hw=")</f>
        <v>#VALUE!</v>
      </c>
      <c r="AD3" t="e">
        <f>AND(přední!J20,"AAAAAH//9h0=")</f>
        <v>#VALUE!</v>
      </c>
      <c r="AE3" t="e">
        <f>AND(přední!K20,"AAAAAH//9h4=")</f>
        <v>#VALUE!</v>
      </c>
      <c r="AF3" t="e">
        <f>AND(přední!L20,"AAAAAH//9h8=")</f>
        <v>#VALUE!</v>
      </c>
      <c r="AG3" t="e">
        <f>AND(přední!M20,"AAAAAH//9iA=")</f>
        <v>#VALUE!</v>
      </c>
      <c r="AH3" t="e">
        <f>AND(přední!N20,"AAAAAH//9iE=")</f>
        <v>#VALUE!</v>
      </c>
      <c r="AI3" t="e">
        <f>AND(přední!O20,"AAAAAH//9iI=")</f>
        <v>#VALUE!</v>
      </c>
      <c r="AJ3" t="e">
        <f>AND(přední!P20,"AAAAAH//9iM=")</f>
        <v>#VALUE!</v>
      </c>
      <c r="AK3" t="e">
        <f>AND(přední!Q20,"AAAAAH//9iQ=")</f>
        <v>#VALUE!</v>
      </c>
      <c r="AL3" t="e">
        <f>AND(přední!R20,"AAAAAH//9iU=")</f>
        <v>#VALUE!</v>
      </c>
      <c r="AM3" t="e">
        <f>AND(přední!S20,"AAAAAH//9iY=")</f>
        <v>#VALUE!</v>
      </c>
      <c r="AN3" t="e">
        <f>AND(přední!T20,"AAAAAH//9ic=")</f>
        <v>#VALUE!</v>
      </c>
      <c r="AO3" t="e">
        <f>AND(přední!U20,"AAAAAH//9ig=")</f>
        <v>#VALUE!</v>
      </c>
      <c r="AP3" t="e">
        <f>AND(přední!V20,"AAAAAH//9ik=")</f>
        <v>#VALUE!</v>
      </c>
      <c r="AQ3" t="e">
        <f>AND(přední!W20,"AAAAAH//9io=")</f>
        <v>#VALUE!</v>
      </c>
      <c r="AR3" t="e">
        <f>AND(přední!X20,"AAAAAH//9is=")</f>
        <v>#VALUE!</v>
      </c>
      <c r="AS3" t="e">
        <f>AND(přední!Y20,"AAAAAH//9iw=")</f>
        <v>#VALUE!</v>
      </c>
      <c r="AT3" t="e">
        <f>AND(přední!Z20,"AAAAAH//9i0=")</f>
        <v>#VALUE!</v>
      </c>
      <c r="AU3" t="e">
        <f>AND(přední!AA20,"AAAAAH//9i4=")</f>
        <v>#VALUE!</v>
      </c>
      <c r="AV3" t="e">
        <f>AND(přední!AB20,"AAAAAH//9i8=")</f>
        <v>#VALUE!</v>
      </c>
      <c r="AW3">
        <f>IF(přední!21:21,"AAAAAH//9jA=",0)</f>
        <v>0</v>
      </c>
      <c r="AX3" t="e">
        <f>AND(přední!B21,"AAAAAH//9jE=")</f>
        <v>#VALUE!</v>
      </c>
      <c r="AY3" t="e">
        <f>AND(přední!C21,"AAAAAH//9jI=")</f>
        <v>#VALUE!</v>
      </c>
      <c r="AZ3" t="e">
        <f>AND(přední!D21,"AAAAAH//9jM=")</f>
        <v>#VALUE!</v>
      </c>
      <c r="BA3" t="e">
        <f>AND(přední!E21,"AAAAAH//9jQ=")</f>
        <v>#VALUE!</v>
      </c>
      <c r="BB3" t="e">
        <f>AND(přední!F21,"AAAAAH//9jU=")</f>
        <v>#VALUE!</v>
      </c>
      <c r="BC3" t="e">
        <f>AND(přední!G21,"AAAAAH//9jY=")</f>
        <v>#VALUE!</v>
      </c>
      <c r="BD3" t="e">
        <f>AND(přední!H21,"AAAAAH//9jc=")</f>
        <v>#VALUE!</v>
      </c>
      <c r="BE3" t="e">
        <f>AND(přední!I21,"AAAAAH//9jg=")</f>
        <v>#VALUE!</v>
      </c>
      <c r="BF3" t="e">
        <f>AND(přední!J21,"AAAAAH//9jk=")</f>
        <v>#VALUE!</v>
      </c>
      <c r="BG3" t="e">
        <f>AND(přední!K21,"AAAAAH//9jo=")</f>
        <v>#VALUE!</v>
      </c>
      <c r="BH3" t="e">
        <f>AND(přední!L21,"AAAAAH//9js=")</f>
        <v>#VALUE!</v>
      </c>
      <c r="BI3" t="e">
        <f>AND(přední!M21,"AAAAAH//9jw=")</f>
        <v>#VALUE!</v>
      </c>
      <c r="BJ3" t="e">
        <f>AND(přední!N21,"AAAAAH//9j0=")</f>
        <v>#VALUE!</v>
      </c>
      <c r="BK3" t="e">
        <f>AND(přední!O21,"AAAAAH//9j4=")</f>
        <v>#VALUE!</v>
      </c>
      <c r="BL3" t="e">
        <f>AND(přední!P21,"AAAAAH//9j8=")</f>
        <v>#VALUE!</v>
      </c>
      <c r="BM3" t="e">
        <f>AND(přední!Q21,"AAAAAH//9kA=")</f>
        <v>#VALUE!</v>
      </c>
      <c r="BN3" t="e">
        <f>AND(přední!R21,"AAAAAH//9kE=")</f>
        <v>#VALUE!</v>
      </c>
      <c r="BO3" t="e">
        <f>AND(přední!S21,"AAAAAH//9kI=")</f>
        <v>#VALUE!</v>
      </c>
      <c r="BP3" t="e">
        <f>AND(přední!T21,"AAAAAH//9kM=")</f>
        <v>#VALUE!</v>
      </c>
      <c r="BQ3" t="e">
        <f>AND(přední!U21,"AAAAAH//9kQ=")</f>
        <v>#VALUE!</v>
      </c>
      <c r="BR3" t="e">
        <f>AND(přední!V21,"AAAAAH//9kU=")</f>
        <v>#VALUE!</v>
      </c>
      <c r="BS3" t="e">
        <f>AND(přední!W21,"AAAAAH//9kY=")</f>
        <v>#VALUE!</v>
      </c>
      <c r="BT3" t="e">
        <f>AND(přední!X21,"AAAAAH//9kc=")</f>
        <v>#VALUE!</v>
      </c>
      <c r="BU3" t="e">
        <f>AND(přední!Y21,"AAAAAH//9kg=")</f>
        <v>#VALUE!</v>
      </c>
      <c r="BV3" t="e">
        <f>AND(přední!Z21,"AAAAAH//9kk=")</f>
        <v>#VALUE!</v>
      </c>
      <c r="BW3" t="e">
        <f>AND(přední!AA21,"AAAAAH//9ko=")</f>
        <v>#VALUE!</v>
      </c>
      <c r="BX3" t="e">
        <f>AND(přední!AB21,"AAAAAH//9ks=")</f>
        <v>#VALUE!</v>
      </c>
      <c r="BY3">
        <f>IF(přední!22:22,"AAAAAH//9kw=",0)</f>
        <v>0</v>
      </c>
      <c r="BZ3" t="e">
        <f>AND(přední!B22,"AAAAAH//9k0=")</f>
        <v>#VALUE!</v>
      </c>
      <c r="CA3" t="e">
        <f>AND(přední!C22,"AAAAAH//9k4=")</f>
        <v>#VALUE!</v>
      </c>
      <c r="CB3" t="e">
        <f>AND(přední!D22,"AAAAAH//9k8=")</f>
        <v>#VALUE!</v>
      </c>
      <c r="CC3" t="e">
        <f>AND(přední!E22,"AAAAAH//9lA=")</f>
        <v>#VALUE!</v>
      </c>
      <c r="CD3" t="e">
        <f>AND(přední!F22,"AAAAAH//9lE=")</f>
        <v>#VALUE!</v>
      </c>
      <c r="CE3" t="e">
        <f>AND(přední!G22,"AAAAAH//9lI=")</f>
        <v>#VALUE!</v>
      </c>
      <c r="CF3" t="e">
        <f>AND(přední!H22,"AAAAAH//9lM=")</f>
        <v>#VALUE!</v>
      </c>
      <c r="CG3" t="e">
        <f>AND(přední!I22,"AAAAAH//9lQ=")</f>
        <v>#VALUE!</v>
      </c>
      <c r="CH3" t="e">
        <f>AND(přední!J22,"AAAAAH//9lU=")</f>
        <v>#VALUE!</v>
      </c>
      <c r="CI3" t="e">
        <f>AND(přední!K22,"AAAAAH//9lY=")</f>
        <v>#VALUE!</v>
      </c>
      <c r="CJ3" t="e">
        <f>AND(přední!L22,"AAAAAH//9lc=")</f>
        <v>#VALUE!</v>
      </c>
      <c r="CK3" t="e">
        <f>AND(přední!M22,"AAAAAH//9lg=")</f>
        <v>#VALUE!</v>
      </c>
      <c r="CL3" t="e">
        <f>AND(přední!N22,"AAAAAH//9lk=")</f>
        <v>#VALUE!</v>
      </c>
      <c r="CM3" t="e">
        <f>AND(přední!O22,"AAAAAH//9lo=")</f>
        <v>#VALUE!</v>
      </c>
      <c r="CN3" t="e">
        <f>AND(přední!P22,"AAAAAH//9ls=")</f>
        <v>#VALUE!</v>
      </c>
      <c r="CO3" t="e">
        <f>AND(přední!Q22,"AAAAAH//9lw=")</f>
        <v>#VALUE!</v>
      </c>
      <c r="CP3" t="e">
        <f>AND(přední!R22,"AAAAAH//9l0=")</f>
        <v>#VALUE!</v>
      </c>
      <c r="CQ3" t="e">
        <f>AND(přední!S22,"AAAAAH//9l4=")</f>
        <v>#VALUE!</v>
      </c>
      <c r="CR3" t="e">
        <f>AND(přední!T22,"AAAAAH//9l8=")</f>
        <v>#VALUE!</v>
      </c>
      <c r="CS3" t="e">
        <f>AND(přední!U22,"AAAAAH//9mA=")</f>
        <v>#VALUE!</v>
      </c>
      <c r="CT3" t="e">
        <f>AND(přední!V22,"AAAAAH//9mE=")</f>
        <v>#VALUE!</v>
      </c>
      <c r="CU3" t="e">
        <f>AND(přední!W22,"AAAAAH//9mI=")</f>
        <v>#VALUE!</v>
      </c>
      <c r="CV3" t="e">
        <f>AND(přední!X22,"AAAAAH//9mM=")</f>
        <v>#VALUE!</v>
      </c>
      <c r="CW3" t="e">
        <f>AND(přední!Y22,"AAAAAH//9mQ=")</f>
        <v>#VALUE!</v>
      </c>
      <c r="CX3" t="e">
        <f>AND(přední!Z22,"AAAAAH//9mU=")</f>
        <v>#VALUE!</v>
      </c>
      <c r="CY3" t="e">
        <f>AND(přední!AA22,"AAAAAH//9mY=")</f>
        <v>#VALUE!</v>
      </c>
      <c r="CZ3" t="e">
        <f>AND(přední!AB22,"AAAAAH//9mc=")</f>
        <v>#VALUE!</v>
      </c>
      <c r="DA3">
        <f>IF(přední!23:23,"AAAAAH//9mg=",0)</f>
        <v>0</v>
      </c>
      <c r="DB3" t="e">
        <f>AND(přední!B23,"AAAAAH//9mk=")</f>
        <v>#VALUE!</v>
      </c>
      <c r="DC3" t="e">
        <f>AND(přední!C23,"AAAAAH//9mo=")</f>
        <v>#VALUE!</v>
      </c>
      <c r="DD3" t="e">
        <f>AND(přední!D23,"AAAAAH//9ms=")</f>
        <v>#VALUE!</v>
      </c>
      <c r="DE3" t="e">
        <f>AND(přední!E23,"AAAAAH//9mw=")</f>
        <v>#VALUE!</v>
      </c>
      <c r="DF3" t="e">
        <f>AND(přední!F23,"AAAAAH//9m0=")</f>
        <v>#VALUE!</v>
      </c>
      <c r="DG3" t="e">
        <f>AND(přední!G23,"AAAAAH//9m4=")</f>
        <v>#VALUE!</v>
      </c>
      <c r="DH3" t="e">
        <f>AND(přední!H23,"AAAAAH//9m8=")</f>
        <v>#VALUE!</v>
      </c>
      <c r="DI3" t="e">
        <f>AND(přední!I23,"AAAAAH//9nA=")</f>
        <v>#VALUE!</v>
      </c>
      <c r="DJ3" t="e">
        <f>AND(přední!J23,"AAAAAH//9nE=")</f>
        <v>#VALUE!</v>
      </c>
      <c r="DK3" t="e">
        <f>AND(přední!K23,"AAAAAH//9nI=")</f>
        <v>#VALUE!</v>
      </c>
      <c r="DL3" t="e">
        <f>AND(přední!L23,"AAAAAH//9nM=")</f>
        <v>#VALUE!</v>
      </c>
      <c r="DM3" t="e">
        <f>AND(přední!M23,"AAAAAH//9nQ=")</f>
        <v>#VALUE!</v>
      </c>
      <c r="DN3" t="e">
        <f>AND(přední!N23,"AAAAAH//9nU=")</f>
        <v>#VALUE!</v>
      </c>
      <c r="DO3" t="e">
        <f>AND(přední!O23,"AAAAAH//9nY=")</f>
        <v>#VALUE!</v>
      </c>
      <c r="DP3" t="e">
        <f>AND(přední!P23,"AAAAAH//9nc=")</f>
        <v>#VALUE!</v>
      </c>
      <c r="DQ3" t="e">
        <f>AND(přední!Q23,"AAAAAH//9ng=")</f>
        <v>#VALUE!</v>
      </c>
      <c r="DR3" t="e">
        <f>AND(přední!R23,"AAAAAH//9nk=")</f>
        <v>#VALUE!</v>
      </c>
      <c r="DS3" t="e">
        <f>AND(přední!S23,"AAAAAH//9no=")</f>
        <v>#VALUE!</v>
      </c>
      <c r="DT3" t="e">
        <f>AND(přední!T23,"AAAAAH//9ns=")</f>
        <v>#VALUE!</v>
      </c>
      <c r="DU3" t="e">
        <f>AND(přední!U23,"AAAAAH//9nw=")</f>
        <v>#VALUE!</v>
      </c>
      <c r="DV3" t="e">
        <f>AND(přední!V23,"AAAAAH//9n0=")</f>
        <v>#VALUE!</v>
      </c>
      <c r="DW3" t="e">
        <f>AND(přední!W23,"AAAAAH//9n4=")</f>
        <v>#VALUE!</v>
      </c>
      <c r="DX3" t="e">
        <f>AND(přední!X23,"AAAAAH//9n8=")</f>
        <v>#VALUE!</v>
      </c>
      <c r="DY3" t="e">
        <f>AND(přední!Y23,"AAAAAH//9oA=")</f>
        <v>#VALUE!</v>
      </c>
      <c r="DZ3" t="e">
        <f>AND(přední!Z23,"AAAAAH//9oE=")</f>
        <v>#VALUE!</v>
      </c>
      <c r="EA3" t="e">
        <f>AND(přední!AA23,"AAAAAH//9oI=")</f>
        <v>#VALUE!</v>
      </c>
      <c r="EB3" t="e">
        <f>AND(přední!AB23,"AAAAAH//9oM=")</f>
        <v>#VALUE!</v>
      </c>
      <c r="EC3">
        <f>IF(přední!24:24,"AAAAAH//9oQ=",0)</f>
        <v>0</v>
      </c>
      <c r="ED3" t="e">
        <f>AND(přední!B24,"AAAAAH//9oU=")</f>
        <v>#VALUE!</v>
      </c>
      <c r="EE3" t="e">
        <f>AND(přední!C24,"AAAAAH//9oY=")</f>
        <v>#VALUE!</v>
      </c>
      <c r="EF3" t="e">
        <f>AND(přední!D24,"AAAAAH//9oc=")</f>
        <v>#VALUE!</v>
      </c>
      <c r="EG3" t="e">
        <f>AND(přední!E24,"AAAAAH//9og=")</f>
        <v>#VALUE!</v>
      </c>
      <c r="EH3" t="e">
        <f>AND(přední!F24,"AAAAAH//9ok=")</f>
        <v>#VALUE!</v>
      </c>
      <c r="EI3" t="e">
        <f>AND(přední!G24,"AAAAAH//9oo=")</f>
        <v>#VALUE!</v>
      </c>
      <c r="EJ3" t="e">
        <f>AND(přední!H24,"AAAAAH//9os=")</f>
        <v>#VALUE!</v>
      </c>
      <c r="EK3" t="e">
        <f>AND(přední!I24,"AAAAAH//9ow=")</f>
        <v>#VALUE!</v>
      </c>
      <c r="EL3" t="e">
        <f>AND(přední!J24,"AAAAAH//9o0=")</f>
        <v>#VALUE!</v>
      </c>
      <c r="EM3" t="e">
        <f>AND(přední!K24,"AAAAAH//9o4=")</f>
        <v>#VALUE!</v>
      </c>
      <c r="EN3" t="e">
        <f>AND(přední!L24,"AAAAAH//9o8=")</f>
        <v>#VALUE!</v>
      </c>
      <c r="EO3" t="e">
        <f>AND(přední!M24,"AAAAAH//9pA=")</f>
        <v>#VALUE!</v>
      </c>
      <c r="EP3" t="e">
        <f>AND(přední!N24,"AAAAAH//9pE=")</f>
        <v>#VALUE!</v>
      </c>
      <c r="EQ3" t="e">
        <f>AND(přední!O24,"AAAAAH//9pI=")</f>
        <v>#VALUE!</v>
      </c>
      <c r="ER3" t="e">
        <f>AND(přední!P24,"AAAAAH//9pM=")</f>
        <v>#VALUE!</v>
      </c>
      <c r="ES3" t="e">
        <f>AND(přední!Q24,"AAAAAH//9pQ=")</f>
        <v>#VALUE!</v>
      </c>
      <c r="ET3" t="e">
        <f>AND(přední!R24,"AAAAAH//9pU=")</f>
        <v>#VALUE!</v>
      </c>
      <c r="EU3" t="e">
        <f>AND(přední!S24,"AAAAAH//9pY=")</f>
        <v>#VALUE!</v>
      </c>
      <c r="EV3" t="e">
        <f>AND(přední!T24,"AAAAAH//9pc=")</f>
        <v>#VALUE!</v>
      </c>
      <c r="EW3" t="e">
        <f>AND(přední!U24,"AAAAAH//9pg=")</f>
        <v>#VALUE!</v>
      </c>
      <c r="EX3" t="e">
        <f>AND(přední!V24,"AAAAAH//9pk=")</f>
        <v>#VALUE!</v>
      </c>
      <c r="EY3" t="e">
        <f>AND(přední!W24,"AAAAAH//9po=")</f>
        <v>#VALUE!</v>
      </c>
      <c r="EZ3" t="e">
        <f>AND(přední!X24,"AAAAAH//9ps=")</f>
        <v>#VALUE!</v>
      </c>
      <c r="FA3" t="e">
        <f>AND(přední!Y24,"AAAAAH//9pw=")</f>
        <v>#VALUE!</v>
      </c>
      <c r="FB3" t="e">
        <f>AND(přední!Z24,"AAAAAH//9p0=")</f>
        <v>#VALUE!</v>
      </c>
      <c r="FC3" t="e">
        <f>AND(přední!AA24,"AAAAAH//9p4=")</f>
        <v>#VALUE!</v>
      </c>
      <c r="FD3" t="e">
        <f>AND(přední!AB24,"AAAAAH//9p8=")</f>
        <v>#VALUE!</v>
      </c>
      <c r="FE3">
        <f>IF(přední!25:25,"AAAAAH//9qA=",0)</f>
        <v>0</v>
      </c>
      <c r="FF3" t="e">
        <f>AND(přední!B25,"AAAAAH//9qE=")</f>
        <v>#VALUE!</v>
      </c>
      <c r="FG3" t="e">
        <f>AND(přední!C25,"AAAAAH//9qI=")</f>
        <v>#VALUE!</v>
      </c>
      <c r="FH3" t="e">
        <f>AND(přední!D25,"AAAAAH//9qM=")</f>
        <v>#VALUE!</v>
      </c>
      <c r="FI3" t="e">
        <f>AND(přední!E25,"AAAAAH//9qQ=")</f>
        <v>#VALUE!</v>
      </c>
      <c r="FJ3" t="e">
        <f>AND(přední!F25,"AAAAAH//9qU=")</f>
        <v>#VALUE!</v>
      </c>
      <c r="FK3" t="e">
        <f>AND(přední!G25,"AAAAAH//9qY=")</f>
        <v>#VALUE!</v>
      </c>
      <c r="FL3" t="e">
        <f>AND(přední!H25,"AAAAAH//9qc=")</f>
        <v>#VALUE!</v>
      </c>
      <c r="FM3" t="e">
        <f>AND(přední!I25,"AAAAAH//9qg=")</f>
        <v>#VALUE!</v>
      </c>
      <c r="FN3" t="e">
        <f>AND(přední!J25,"AAAAAH//9qk=")</f>
        <v>#VALUE!</v>
      </c>
      <c r="FO3" t="e">
        <f>AND(přední!K25,"AAAAAH//9qo=")</f>
        <v>#VALUE!</v>
      </c>
      <c r="FP3" t="e">
        <f>AND(přední!L25,"AAAAAH//9qs=")</f>
        <v>#VALUE!</v>
      </c>
      <c r="FQ3" t="e">
        <f>AND(přední!M25,"AAAAAH//9qw=")</f>
        <v>#VALUE!</v>
      </c>
      <c r="FR3" t="e">
        <f>AND(přední!N25,"AAAAAH//9q0=")</f>
        <v>#VALUE!</v>
      </c>
      <c r="FS3" t="e">
        <f>AND(přední!O25,"AAAAAH//9q4=")</f>
        <v>#VALUE!</v>
      </c>
      <c r="FT3" t="e">
        <f>AND(přední!P25,"AAAAAH//9q8=")</f>
        <v>#VALUE!</v>
      </c>
      <c r="FU3" t="e">
        <f>AND(přední!Q25,"AAAAAH//9rA=")</f>
        <v>#VALUE!</v>
      </c>
      <c r="FV3" t="e">
        <f>AND(přední!R25,"AAAAAH//9rE=")</f>
        <v>#VALUE!</v>
      </c>
      <c r="FW3" t="e">
        <f>AND(přední!S25,"AAAAAH//9rI=")</f>
        <v>#VALUE!</v>
      </c>
      <c r="FX3" t="e">
        <f>AND(přední!T25,"AAAAAH//9rM=")</f>
        <v>#VALUE!</v>
      </c>
      <c r="FY3" t="e">
        <f>AND(přední!U25,"AAAAAH//9rQ=")</f>
        <v>#VALUE!</v>
      </c>
      <c r="FZ3" t="e">
        <f>AND(přední!V25,"AAAAAH//9rU=")</f>
        <v>#VALUE!</v>
      </c>
      <c r="GA3" t="e">
        <f>AND(přední!W25,"AAAAAH//9rY=")</f>
        <v>#VALUE!</v>
      </c>
      <c r="GB3" t="e">
        <f>AND(přední!X25,"AAAAAH//9rc=")</f>
        <v>#VALUE!</v>
      </c>
      <c r="GC3" t="e">
        <f>AND(přední!Y25,"AAAAAH//9rg=")</f>
        <v>#VALUE!</v>
      </c>
      <c r="GD3" t="e">
        <f>AND(přední!Z25,"AAAAAH//9rk=")</f>
        <v>#VALUE!</v>
      </c>
      <c r="GE3" t="e">
        <f>AND(přední!AA25,"AAAAAH//9ro=")</f>
        <v>#VALUE!</v>
      </c>
      <c r="GF3" t="e">
        <f>AND(přední!AB25,"AAAAAH//9rs=")</f>
        <v>#VALUE!</v>
      </c>
      <c r="GG3">
        <f>IF(přední!26:26,"AAAAAH//9rw=",0)</f>
        <v>0</v>
      </c>
      <c r="GH3" t="e">
        <f>AND(přední!B26,"AAAAAH//9r0=")</f>
        <v>#VALUE!</v>
      </c>
      <c r="GI3" t="e">
        <f>AND(přední!C26,"AAAAAH//9r4=")</f>
        <v>#VALUE!</v>
      </c>
      <c r="GJ3" t="e">
        <f>AND(přední!D26,"AAAAAH//9r8=")</f>
        <v>#VALUE!</v>
      </c>
      <c r="GK3" t="e">
        <f>AND(přední!E26,"AAAAAH//9sA=")</f>
        <v>#VALUE!</v>
      </c>
      <c r="GL3" t="e">
        <f>AND(přední!F26,"AAAAAH//9sE=")</f>
        <v>#VALUE!</v>
      </c>
      <c r="GM3" t="e">
        <f>AND(přední!G26,"AAAAAH//9sI=")</f>
        <v>#VALUE!</v>
      </c>
      <c r="GN3" t="e">
        <f>AND(přední!H26,"AAAAAH//9sM=")</f>
        <v>#VALUE!</v>
      </c>
      <c r="GO3" t="e">
        <f>AND(přední!I26,"AAAAAH//9sQ=")</f>
        <v>#VALUE!</v>
      </c>
      <c r="GP3" t="e">
        <f>AND(přední!J26,"AAAAAH//9sU=")</f>
        <v>#VALUE!</v>
      </c>
      <c r="GQ3" t="e">
        <f>AND(přední!K26,"AAAAAH//9sY=")</f>
        <v>#VALUE!</v>
      </c>
      <c r="GR3" t="e">
        <f>AND(přední!L26,"AAAAAH//9sc=")</f>
        <v>#VALUE!</v>
      </c>
      <c r="GS3" t="e">
        <f>AND(přední!M26,"AAAAAH//9sg=")</f>
        <v>#VALUE!</v>
      </c>
      <c r="GT3" t="e">
        <f>AND(přední!N26,"AAAAAH//9sk=")</f>
        <v>#VALUE!</v>
      </c>
      <c r="GU3" t="e">
        <f>AND(přední!O26,"AAAAAH//9so=")</f>
        <v>#VALUE!</v>
      </c>
      <c r="GV3" t="e">
        <f>AND(přední!P26,"AAAAAH//9ss=")</f>
        <v>#VALUE!</v>
      </c>
      <c r="GW3" t="e">
        <f>AND(přední!Q26,"AAAAAH//9sw=")</f>
        <v>#VALUE!</v>
      </c>
      <c r="GX3" t="e">
        <f>AND(přední!R26,"AAAAAH//9s0=")</f>
        <v>#VALUE!</v>
      </c>
      <c r="GY3" t="e">
        <f>AND(přední!S26,"AAAAAH//9s4=")</f>
        <v>#VALUE!</v>
      </c>
      <c r="GZ3" t="e">
        <f>AND(přední!T26,"AAAAAH//9s8=")</f>
        <v>#VALUE!</v>
      </c>
      <c r="HA3" t="e">
        <f>AND(přední!U26,"AAAAAH//9tA=")</f>
        <v>#VALUE!</v>
      </c>
      <c r="HB3" t="e">
        <f>AND(přední!V26,"AAAAAH//9tE=")</f>
        <v>#VALUE!</v>
      </c>
      <c r="HC3" t="e">
        <f>AND(přední!W26,"AAAAAH//9tI=")</f>
        <v>#VALUE!</v>
      </c>
      <c r="HD3" t="e">
        <f>AND(přední!X26,"AAAAAH//9tM=")</f>
        <v>#VALUE!</v>
      </c>
      <c r="HE3" t="e">
        <f>AND(přední!Y26,"AAAAAH//9tQ=")</f>
        <v>#VALUE!</v>
      </c>
      <c r="HF3" t="e">
        <f>AND(přední!Z26,"AAAAAH//9tU=")</f>
        <v>#VALUE!</v>
      </c>
      <c r="HG3" t="e">
        <f>AND(přední!AA26,"AAAAAH//9tY=")</f>
        <v>#VALUE!</v>
      </c>
      <c r="HH3" t="e">
        <f>AND(přední!AB26,"AAAAAH//9tc=")</f>
        <v>#VALUE!</v>
      </c>
      <c r="HI3">
        <f>IF(přední!27:27,"AAAAAH//9tg=",0)</f>
        <v>0</v>
      </c>
      <c r="HJ3" t="e">
        <f>AND(přední!B27,"AAAAAH//9tk=")</f>
        <v>#VALUE!</v>
      </c>
      <c r="HK3" t="e">
        <f>AND(přední!C27,"AAAAAH//9to=")</f>
        <v>#VALUE!</v>
      </c>
      <c r="HL3" t="e">
        <f>AND(přední!D27,"AAAAAH//9ts=")</f>
        <v>#VALUE!</v>
      </c>
      <c r="HM3" t="e">
        <f>AND(přední!E27,"AAAAAH//9tw=")</f>
        <v>#VALUE!</v>
      </c>
      <c r="HN3" t="e">
        <f>AND(přední!F27,"AAAAAH//9t0=")</f>
        <v>#VALUE!</v>
      </c>
      <c r="HO3" t="e">
        <f>AND(přední!G27,"AAAAAH//9t4=")</f>
        <v>#VALUE!</v>
      </c>
      <c r="HP3" t="e">
        <f>AND(přední!H27,"AAAAAH//9t8=")</f>
        <v>#VALUE!</v>
      </c>
      <c r="HQ3" t="e">
        <f>AND(přední!I27,"AAAAAH//9uA=")</f>
        <v>#VALUE!</v>
      </c>
      <c r="HR3" t="e">
        <f>AND(přední!J27,"AAAAAH//9uE=")</f>
        <v>#VALUE!</v>
      </c>
      <c r="HS3" t="e">
        <f>AND(přední!K27,"AAAAAH//9uI=")</f>
        <v>#VALUE!</v>
      </c>
      <c r="HT3" t="e">
        <f>AND(přední!L27,"AAAAAH//9uM=")</f>
        <v>#VALUE!</v>
      </c>
      <c r="HU3" t="e">
        <f>AND(přední!M27,"AAAAAH//9uQ=")</f>
        <v>#VALUE!</v>
      </c>
      <c r="HV3" t="e">
        <f>AND(přední!N27,"AAAAAH//9uU=")</f>
        <v>#VALUE!</v>
      </c>
      <c r="HW3" t="e">
        <f>AND(přední!O27,"AAAAAH//9uY=")</f>
        <v>#VALUE!</v>
      </c>
      <c r="HX3" t="e">
        <f>AND(přední!P27,"AAAAAH//9uc=")</f>
        <v>#VALUE!</v>
      </c>
      <c r="HY3" t="e">
        <f>AND(přední!Q27,"AAAAAH//9ug=")</f>
        <v>#VALUE!</v>
      </c>
      <c r="HZ3" t="e">
        <f>AND(přední!R27,"AAAAAH//9uk=")</f>
        <v>#VALUE!</v>
      </c>
      <c r="IA3" t="e">
        <f>AND(přední!S27,"AAAAAH//9uo=")</f>
        <v>#VALUE!</v>
      </c>
      <c r="IB3" t="e">
        <f>AND(přední!T27,"AAAAAH//9us=")</f>
        <v>#VALUE!</v>
      </c>
      <c r="IC3" t="e">
        <f>AND(přední!U27,"AAAAAH//9uw=")</f>
        <v>#VALUE!</v>
      </c>
      <c r="ID3" t="e">
        <f>AND(přední!V27,"AAAAAH//9u0=")</f>
        <v>#VALUE!</v>
      </c>
      <c r="IE3" t="e">
        <f>AND(přední!W27,"AAAAAH//9u4=")</f>
        <v>#VALUE!</v>
      </c>
      <c r="IF3" t="e">
        <f>AND(přední!X27,"AAAAAH//9u8=")</f>
        <v>#VALUE!</v>
      </c>
      <c r="IG3" t="e">
        <f>AND(přední!Y27,"AAAAAH//9vA=")</f>
        <v>#VALUE!</v>
      </c>
      <c r="IH3" t="e">
        <f>AND(přední!Z27,"AAAAAH//9vE=")</f>
        <v>#VALUE!</v>
      </c>
      <c r="II3" t="e">
        <f>AND(přední!AA27,"AAAAAH//9vI=")</f>
        <v>#VALUE!</v>
      </c>
      <c r="IJ3" t="e">
        <f>AND(přední!AB27,"AAAAAH//9vM=")</f>
        <v>#VALUE!</v>
      </c>
      <c r="IK3">
        <f>IF(přední!28:28,"AAAAAH//9vQ=",0)</f>
        <v>0</v>
      </c>
      <c r="IL3" t="e">
        <f>AND(přední!B28,"AAAAAH//9vU=")</f>
        <v>#VALUE!</v>
      </c>
      <c r="IM3" t="e">
        <f>AND(přední!C28,"AAAAAH//9vY=")</f>
        <v>#VALUE!</v>
      </c>
      <c r="IN3" t="e">
        <f>AND(přední!D28,"AAAAAH//9vc=")</f>
        <v>#VALUE!</v>
      </c>
      <c r="IO3" t="e">
        <f>AND(přední!E28,"AAAAAH//9vg=")</f>
        <v>#VALUE!</v>
      </c>
      <c r="IP3" t="e">
        <f>AND(přední!F28,"AAAAAH//9vk=")</f>
        <v>#VALUE!</v>
      </c>
      <c r="IQ3" t="e">
        <f>AND(přední!G28,"AAAAAH//9vo=")</f>
        <v>#VALUE!</v>
      </c>
      <c r="IR3" t="e">
        <f>AND(přední!H28,"AAAAAH//9vs=")</f>
        <v>#VALUE!</v>
      </c>
      <c r="IS3" t="e">
        <f>AND(přední!I28,"AAAAAH//9vw=")</f>
        <v>#VALUE!</v>
      </c>
      <c r="IT3" t="e">
        <f>AND(přední!J28,"AAAAAH//9v0=")</f>
        <v>#VALUE!</v>
      </c>
      <c r="IU3" t="e">
        <f>AND(přední!K28,"AAAAAH//9v4=")</f>
        <v>#VALUE!</v>
      </c>
      <c r="IV3" t="e">
        <f>AND(přední!L28,"AAAAAH//9v8=")</f>
        <v>#VALUE!</v>
      </c>
    </row>
    <row r="4" spans="1:256" ht="12.75">
      <c r="A4" t="e">
        <f>AND(přední!M28,"AAAAAGHZvgA=")</f>
        <v>#VALUE!</v>
      </c>
      <c r="B4" t="e">
        <f>AND(přední!N28,"AAAAAGHZvgE=")</f>
        <v>#VALUE!</v>
      </c>
      <c r="C4" t="e">
        <f>AND(přední!O28,"AAAAAGHZvgI=")</f>
        <v>#VALUE!</v>
      </c>
      <c r="D4" t="e">
        <f>AND(přední!P28,"AAAAAGHZvgM=")</f>
        <v>#VALUE!</v>
      </c>
      <c r="E4" t="e">
        <f>AND(přední!Q28,"AAAAAGHZvgQ=")</f>
        <v>#VALUE!</v>
      </c>
      <c r="F4" t="e">
        <f>AND(přední!R28,"AAAAAGHZvgU=")</f>
        <v>#VALUE!</v>
      </c>
      <c r="G4" t="e">
        <f>AND(přední!S28,"AAAAAGHZvgY=")</f>
        <v>#VALUE!</v>
      </c>
      <c r="H4" t="e">
        <f>AND(přední!T28,"AAAAAGHZvgc=")</f>
        <v>#VALUE!</v>
      </c>
      <c r="I4" t="e">
        <f>AND(přední!U28,"AAAAAGHZvgg=")</f>
        <v>#VALUE!</v>
      </c>
      <c r="J4" t="e">
        <f>AND(přední!V28,"AAAAAGHZvgk=")</f>
        <v>#VALUE!</v>
      </c>
      <c r="K4" t="e">
        <f>AND(přední!W28,"AAAAAGHZvgo=")</f>
        <v>#VALUE!</v>
      </c>
      <c r="L4" t="e">
        <f>AND(přední!X28,"AAAAAGHZvgs=")</f>
        <v>#VALUE!</v>
      </c>
      <c r="M4" t="e">
        <f>AND(přední!Y28,"AAAAAGHZvgw=")</f>
        <v>#VALUE!</v>
      </c>
      <c r="N4" t="e">
        <f>AND(přední!Z28,"AAAAAGHZvg0=")</f>
        <v>#VALUE!</v>
      </c>
      <c r="O4" t="e">
        <f>AND(přední!AA28,"AAAAAGHZvg4=")</f>
        <v>#VALUE!</v>
      </c>
      <c r="P4" t="e">
        <f>AND(přední!AB28,"AAAAAGHZvg8=")</f>
        <v>#VALUE!</v>
      </c>
      <c r="Q4">
        <f>IF(přední!29:29,"AAAAAGHZvhA=",0)</f>
        <v>0</v>
      </c>
      <c r="R4" t="e">
        <f>AND(přední!B29,"AAAAAGHZvhE=")</f>
        <v>#VALUE!</v>
      </c>
      <c r="S4" t="e">
        <f>AND(přední!C29,"AAAAAGHZvhI=")</f>
        <v>#VALUE!</v>
      </c>
      <c r="T4" t="e">
        <f>AND(přední!D29,"AAAAAGHZvhM=")</f>
        <v>#VALUE!</v>
      </c>
      <c r="U4" t="e">
        <f>AND(přední!E29,"AAAAAGHZvhQ=")</f>
        <v>#VALUE!</v>
      </c>
      <c r="V4" t="e">
        <f>AND(přední!F29,"AAAAAGHZvhU=")</f>
        <v>#VALUE!</v>
      </c>
      <c r="W4" t="e">
        <f>AND(přední!G29,"AAAAAGHZvhY=")</f>
        <v>#VALUE!</v>
      </c>
      <c r="X4" t="e">
        <f>AND(přední!H29,"AAAAAGHZvhc=")</f>
        <v>#VALUE!</v>
      </c>
      <c r="Y4" t="e">
        <f>AND(přední!I29,"AAAAAGHZvhg=")</f>
        <v>#VALUE!</v>
      </c>
      <c r="Z4" t="e">
        <f>AND(přední!J29,"AAAAAGHZvhk=")</f>
        <v>#VALUE!</v>
      </c>
      <c r="AA4" t="e">
        <f>AND(přední!K29,"AAAAAGHZvho=")</f>
        <v>#VALUE!</v>
      </c>
      <c r="AB4" t="e">
        <f>AND(přední!L29,"AAAAAGHZvhs=")</f>
        <v>#VALUE!</v>
      </c>
      <c r="AC4" t="e">
        <f>AND(přední!M29,"AAAAAGHZvhw=")</f>
        <v>#VALUE!</v>
      </c>
      <c r="AD4" t="e">
        <f>AND(přední!N29,"AAAAAGHZvh0=")</f>
        <v>#VALUE!</v>
      </c>
      <c r="AE4" t="e">
        <f>AND(přední!O29,"AAAAAGHZvh4=")</f>
        <v>#VALUE!</v>
      </c>
      <c r="AF4" t="e">
        <f>AND(přední!P29,"AAAAAGHZvh8=")</f>
        <v>#VALUE!</v>
      </c>
      <c r="AG4" t="e">
        <f>AND(přední!Q29,"AAAAAGHZviA=")</f>
        <v>#VALUE!</v>
      </c>
      <c r="AH4" t="e">
        <f>AND(přední!R29,"AAAAAGHZviE=")</f>
        <v>#VALUE!</v>
      </c>
      <c r="AI4" t="e">
        <f>AND(přední!S29,"AAAAAGHZviI=")</f>
        <v>#VALUE!</v>
      </c>
      <c r="AJ4" t="e">
        <f>AND(přední!T29,"AAAAAGHZviM=")</f>
        <v>#VALUE!</v>
      </c>
      <c r="AK4" t="e">
        <f>AND(přední!U29,"AAAAAGHZviQ=")</f>
        <v>#VALUE!</v>
      </c>
      <c r="AL4" t="e">
        <f>AND(přední!V29,"AAAAAGHZviU=")</f>
        <v>#VALUE!</v>
      </c>
      <c r="AM4" t="e">
        <f>AND(přední!W29,"AAAAAGHZviY=")</f>
        <v>#VALUE!</v>
      </c>
      <c r="AN4" t="e">
        <f>AND(přední!X29,"AAAAAGHZvic=")</f>
        <v>#VALUE!</v>
      </c>
      <c r="AO4" t="e">
        <f>AND(přední!Y29,"AAAAAGHZvig=")</f>
        <v>#VALUE!</v>
      </c>
      <c r="AP4" t="e">
        <f>AND(přední!Z29,"AAAAAGHZvik=")</f>
        <v>#VALUE!</v>
      </c>
      <c r="AQ4" t="e">
        <f>AND(přední!AA29,"AAAAAGHZvio=")</f>
        <v>#VALUE!</v>
      </c>
      <c r="AR4" t="e">
        <f>AND(přední!AB29,"AAAAAGHZvis=")</f>
        <v>#VALUE!</v>
      </c>
      <c r="AS4">
        <f>IF(přední!30:30,"AAAAAGHZviw=",0)</f>
        <v>0</v>
      </c>
      <c r="AT4" t="e">
        <f>AND(přední!B30,"AAAAAGHZvi0=")</f>
        <v>#VALUE!</v>
      </c>
      <c r="AU4" t="e">
        <f>AND(přední!C30,"AAAAAGHZvi4=")</f>
        <v>#VALUE!</v>
      </c>
      <c r="AV4" t="e">
        <f>AND(přední!D30,"AAAAAGHZvi8=")</f>
        <v>#VALUE!</v>
      </c>
      <c r="AW4" t="e">
        <f>AND(přední!E30,"AAAAAGHZvjA=")</f>
        <v>#VALUE!</v>
      </c>
      <c r="AX4" t="e">
        <f>AND(přední!F30,"AAAAAGHZvjE=")</f>
        <v>#VALUE!</v>
      </c>
      <c r="AY4" t="e">
        <f>AND(přední!G30,"AAAAAGHZvjI=")</f>
        <v>#VALUE!</v>
      </c>
      <c r="AZ4" t="e">
        <f>AND(přední!H30,"AAAAAGHZvjM=")</f>
        <v>#VALUE!</v>
      </c>
      <c r="BA4" t="e">
        <f>AND(přední!I30,"AAAAAGHZvjQ=")</f>
        <v>#VALUE!</v>
      </c>
      <c r="BB4" t="e">
        <f>AND(přední!J30,"AAAAAGHZvjU=")</f>
        <v>#VALUE!</v>
      </c>
      <c r="BC4" t="e">
        <f>AND(přední!K30,"AAAAAGHZvjY=")</f>
        <v>#VALUE!</v>
      </c>
      <c r="BD4" t="e">
        <f>AND(přední!L30,"AAAAAGHZvjc=")</f>
        <v>#VALUE!</v>
      </c>
      <c r="BE4" t="e">
        <f>AND(přední!M30,"AAAAAGHZvjg=")</f>
        <v>#VALUE!</v>
      </c>
      <c r="BF4" t="e">
        <f>AND(přední!N30,"AAAAAGHZvjk=")</f>
        <v>#VALUE!</v>
      </c>
      <c r="BG4" t="e">
        <f>AND(přední!O30,"AAAAAGHZvjo=")</f>
        <v>#VALUE!</v>
      </c>
      <c r="BH4" t="e">
        <f>AND(přední!P30,"AAAAAGHZvjs=")</f>
        <v>#VALUE!</v>
      </c>
      <c r="BI4" t="e">
        <f>AND(přední!Q30,"AAAAAGHZvjw=")</f>
        <v>#VALUE!</v>
      </c>
      <c r="BJ4" t="e">
        <f>AND(přední!R30,"AAAAAGHZvj0=")</f>
        <v>#VALUE!</v>
      </c>
      <c r="BK4" t="e">
        <f>AND(přední!S30,"AAAAAGHZvj4=")</f>
        <v>#VALUE!</v>
      </c>
      <c r="BL4" t="e">
        <f>AND(přední!T30,"AAAAAGHZvj8=")</f>
        <v>#VALUE!</v>
      </c>
      <c r="BM4" t="e">
        <f>AND(přední!U30,"AAAAAGHZvkA=")</f>
        <v>#VALUE!</v>
      </c>
      <c r="BN4" t="e">
        <f>AND(přední!V30,"AAAAAGHZvkE=")</f>
        <v>#VALUE!</v>
      </c>
      <c r="BO4" t="e">
        <f>AND(přední!W30,"AAAAAGHZvkI=")</f>
        <v>#VALUE!</v>
      </c>
      <c r="BP4" t="e">
        <f>AND(přední!X30,"AAAAAGHZvkM=")</f>
        <v>#VALUE!</v>
      </c>
      <c r="BQ4" t="e">
        <f>AND(přední!Y30,"AAAAAGHZvkQ=")</f>
        <v>#VALUE!</v>
      </c>
      <c r="BR4" t="e">
        <f>AND(přední!Z30,"AAAAAGHZvkU=")</f>
        <v>#VALUE!</v>
      </c>
      <c r="BS4" t="e">
        <f>AND(přední!AA30,"AAAAAGHZvkY=")</f>
        <v>#VALUE!</v>
      </c>
      <c r="BT4" t="e">
        <f>AND(přední!AB30,"AAAAAGHZvkc=")</f>
        <v>#VALUE!</v>
      </c>
      <c r="BU4">
        <f>IF(přední!31:31,"AAAAAGHZvkg=",0)</f>
        <v>0</v>
      </c>
      <c r="BV4" t="e">
        <f>AND(přední!B31,"AAAAAGHZvkk=")</f>
        <v>#VALUE!</v>
      </c>
      <c r="BW4" t="e">
        <f>AND(přední!C31,"AAAAAGHZvko=")</f>
        <v>#VALUE!</v>
      </c>
      <c r="BX4" t="e">
        <f>AND(přední!D31,"AAAAAGHZvks=")</f>
        <v>#VALUE!</v>
      </c>
      <c r="BY4" t="e">
        <f>AND(přední!E31,"AAAAAGHZvkw=")</f>
        <v>#VALUE!</v>
      </c>
      <c r="BZ4" t="e">
        <f>AND(přední!F31,"AAAAAGHZvk0=")</f>
        <v>#VALUE!</v>
      </c>
      <c r="CA4" t="e">
        <f>AND(přední!G31,"AAAAAGHZvk4=")</f>
        <v>#VALUE!</v>
      </c>
      <c r="CB4" t="e">
        <f>AND(přední!H31,"AAAAAGHZvk8=")</f>
        <v>#VALUE!</v>
      </c>
      <c r="CC4" t="e">
        <f>AND(přední!I31,"AAAAAGHZvlA=")</f>
        <v>#VALUE!</v>
      </c>
      <c r="CD4" t="e">
        <f>AND(přední!J31,"AAAAAGHZvlE=")</f>
        <v>#VALUE!</v>
      </c>
      <c r="CE4" t="e">
        <f>AND(přední!K31,"AAAAAGHZvlI=")</f>
        <v>#VALUE!</v>
      </c>
      <c r="CF4" t="e">
        <f>AND(přední!L31,"AAAAAGHZvlM=")</f>
        <v>#VALUE!</v>
      </c>
      <c r="CG4" t="e">
        <f>AND(přední!M31,"AAAAAGHZvlQ=")</f>
        <v>#VALUE!</v>
      </c>
      <c r="CH4" t="e">
        <f>AND(přední!N31,"AAAAAGHZvlU=")</f>
        <v>#VALUE!</v>
      </c>
      <c r="CI4" t="e">
        <f>AND(přední!O31,"AAAAAGHZvlY=")</f>
        <v>#VALUE!</v>
      </c>
      <c r="CJ4" t="e">
        <f>AND(přední!P31,"AAAAAGHZvlc=")</f>
        <v>#VALUE!</v>
      </c>
      <c r="CK4" t="e">
        <f>AND(přední!Q31,"AAAAAGHZvlg=")</f>
        <v>#VALUE!</v>
      </c>
      <c r="CL4" t="e">
        <f>AND(přední!R31,"AAAAAGHZvlk=")</f>
        <v>#VALUE!</v>
      </c>
      <c r="CM4" t="e">
        <f>AND(přední!S31,"AAAAAGHZvlo=")</f>
        <v>#VALUE!</v>
      </c>
      <c r="CN4" t="e">
        <f>AND(přední!T31,"AAAAAGHZvls=")</f>
        <v>#VALUE!</v>
      </c>
      <c r="CO4" t="e">
        <f>AND(přední!U31,"AAAAAGHZvlw=")</f>
        <v>#VALUE!</v>
      </c>
      <c r="CP4" t="e">
        <f>AND(přední!V31,"AAAAAGHZvl0=")</f>
        <v>#VALUE!</v>
      </c>
      <c r="CQ4" t="e">
        <f>AND(přední!W31,"AAAAAGHZvl4=")</f>
        <v>#VALUE!</v>
      </c>
      <c r="CR4" t="e">
        <f>AND(přední!X31,"AAAAAGHZvl8=")</f>
        <v>#VALUE!</v>
      </c>
      <c r="CS4" t="e">
        <f>AND(přední!Y31,"AAAAAGHZvmA=")</f>
        <v>#VALUE!</v>
      </c>
      <c r="CT4" t="e">
        <f>AND(přední!Z31,"AAAAAGHZvmE=")</f>
        <v>#VALUE!</v>
      </c>
      <c r="CU4" t="e">
        <f>AND(přední!AA31,"AAAAAGHZvmI=")</f>
        <v>#VALUE!</v>
      </c>
      <c r="CV4" t="e">
        <f>AND(přední!AB31,"AAAAAGHZvmM=")</f>
        <v>#VALUE!</v>
      </c>
      <c r="CW4">
        <f>IF(přední!32:32,"AAAAAGHZvmQ=",0)</f>
        <v>0</v>
      </c>
      <c r="CX4" t="e">
        <f>AND(přední!B32,"AAAAAGHZvmU=")</f>
        <v>#VALUE!</v>
      </c>
      <c r="CY4" t="e">
        <f>AND(přední!C32,"AAAAAGHZvmY=")</f>
        <v>#VALUE!</v>
      </c>
      <c r="CZ4" t="e">
        <f>AND(přední!D32,"AAAAAGHZvmc=")</f>
        <v>#VALUE!</v>
      </c>
      <c r="DA4" t="e">
        <f>AND(přední!E32,"AAAAAGHZvmg=")</f>
        <v>#VALUE!</v>
      </c>
      <c r="DB4" t="e">
        <f>AND(přední!F32,"AAAAAGHZvmk=")</f>
        <v>#VALUE!</v>
      </c>
      <c r="DC4" t="e">
        <f>AND(přední!G32,"AAAAAGHZvmo=")</f>
        <v>#VALUE!</v>
      </c>
      <c r="DD4" t="e">
        <f>AND(přední!H32,"AAAAAGHZvms=")</f>
        <v>#VALUE!</v>
      </c>
      <c r="DE4" t="e">
        <f>AND(přední!I32,"AAAAAGHZvmw=")</f>
        <v>#VALUE!</v>
      </c>
      <c r="DF4" t="e">
        <f>AND(přední!J32,"AAAAAGHZvm0=")</f>
        <v>#VALUE!</v>
      </c>
      <c r="DG4" t="e">
        <f>AND(přední!K32,"AAAAAGHZvm4=")</f>
        <v>#VALUE!</v>
      </c>
      <c r="DH4" t="e">
        <f>AND(přední!L32,"AAAAAGHZvm8=")</f>
        <v>#VALUE!</v>
      </c>
      <c r="DI4" t="e">
        <f>AND(přední!M32,"AAAAAGHZvnA=")</f>
        <v>#VALUE!</v>
      </c>
      <c r="DJ4" t="e">
        <f>AND(přední!N32,"AAAAAGHZvnE=")</f>
        <v>#VALUE!</v>
      </c>
      <c r="DK4" t="e">
        <f>AND(přední!O32,"AAAAAGHZvnI=")</f>
        <v>#VALUE!</v>
      </c>
      <c r="DL4" t="e">
        <f>AND(přední!P32,"AAAAAGHZvnM=")</f>
        <v>#VALUE!</v>
      </c>
      <c r="DM4" t="e">
        <f>AND(přední!Q32,"AAAAAGHZvnQ=")</f>
        <v>#VALUE!</v>
      </c>
      <c r="DN4" t="e">
        <f>AND(přední!R32,"AAAAAGHZvnU=")</f>
        <v>#VALUE!</v>
      </c>
      <c r="DO4" t="e">
        <f>AND(přední!S32,"AAAAAGHZvnY=")</f>
        <v>#VALUE!</v>
      </c>
      <c r="DP4" t="e">
        <f>AND(přední!T32,"AAAAAGHZvnc=")</f>
        <v>#VALUE!</v>
      </c>
      <c r="DQ4" t="e">
        <f>AND(přední!U32,"AAAAAGHZvng=")</f>
        <v>#VALUE!</v>
      </c>
      <c r="DR4" t="e">
        <f>AND(přední!V32,"AAAAAGHZvnk=")</f>
        <v>#VALUE!</v>
      </c>
      <c r="DS4" t="e">
        <f>AND(přední!W32,"AAAAAGHZvno=")</f>
        <v>#VALUE!</v>
      </c>
      <c r="DT4" t="e">
        <f>AND(přední!X32,"AAAAAGHZvns=")</f>
        <v>#VALUE!</v>
      </c>
      <c r="DU4" t="e">
        <f>AND(přední!Y32,"AAAAAGHZvnw=")</f>
        <v>#VALUE!</v>
      </c>
      <c r="DV4" t="e">
        <f>AND(přední!Z32,"AAAAAGHZvn0=")</f>
        <v>#VALUE!</v>
      </c>
      <c r="DW4" t="e">
        <f>AND(přední!AA32,"AAAAAGHZvn4=")</f>
        <v>#VALUE!</v>
      </c>
      <c r="DX4" t="e">
        <f>AND(přední!AB32,"AAAAAGHZvn8=")</f>
        <v>#VALUE!</v>
      </c>
      <c r="DY4">
        <f>IF(přední!33:33,"AAAAAGHZvoA=",0)</f>
        <v>0</v>
      </c>
      <c r="DZ4" t="e">
        <f>AND(přední!B33,"AAAAAGHZvoE=")</f>
        <v>#VALUE!</v>
      </c>
      <c r="EA4" t="e">
        <f>AND(přední!C33,"AAAAAGHZvoI=")</f>
        <v>#VALUE!</v>
      </c>
      <c r="EB4" t="e">
        <f>AND(přední!D33,"AAAAAGHZvoM=")</f>
        <v>#VALUE!</v>
      </c>
      <c r="EC4" t="e">
        <f>AND(přední!E33,"AAAAAGHZvoQ=")</f>
        <v>#VALUE!</v>
      </c>
      <c r="ED4" t="e">
        <f>AND(přední!F33,"AAAAAGHZvoU=")</f>
        <v>#VALUE!</v>
      </c>
      <c r="EE4" t="e">
        <f>AND(přední!G33,"AAAAAGHZvoY=")</f>
        <v>#VALUE!</v>
      </c>
      <c r="EF4" t="e">
        <f>AND(přední!H33,"AAAAAGHZvoc=")</f>
        <v>#VALUE!</v>
      </c>
      <c r="EG4" t="e">
        <f>AND(přední!I33,"AAAAAGHZvog=")</f>
        <v>#VALUE!</v>
      </c>
      <c r="EH4" t="e">
        <f>AND(přední!J33,"AAAAAGHZvok=")</f>
        <v>#VALUE!</v>
      </c>
      <c r="EI4" t="e">
        <f>AND(přední!K33,"AAAAAGHZvoo=")</f>
        <v>#VALUE!</v>
      </c>
      <c r="EJ4" t="e">
        <f>AND(přední!L33,"AAAAAGHZvos=")</f>
        <v>#VALUE!</v>
      </c>
      <c r="EK4" t="e">
        <f>AND(přední!M33,"AAAAAGHZvow=")</f>
        <v>#VALUE!</v>
      </c>
      <c r="EL4" t="e">
        <f>AND(přední!N33,"AAAAAGHZvo0=")</f>
        <v>#VALUE!</v>
      </c>
      <c r="EM4" t="e">
        <f>AND(přední!O33,"AAAAAGHZvo4=")</f>
        <v>#VALUE!</v>
      </c>
      <c r="EN4" t="e">
        <f>AND(přední!P33,"AAAAAGHZvo8=")</f>
        <v>#VALUE!</v>
      </c>
      <c r="EO4" t="e">
        <f>AND(přední!Q33,"AAAAAGHZvpA=")</f>
        <v>#VALUE!</v>
      </c>
      <c r="EP4" t="e">
        <f>AND(přední!R33,"AAAAAGHZvpE=")</f>
        <v>#VALUE!</v>
      </c>
      <c r="EQ4" t="e">
        <f>AND(přední!S33,"AAAAAGHZvpI=")</f>
        <v>#VALUE!</v>
      </c>
      <c r="ER4" t="e">
        <f>AND(přední!T33,"AAAAAGHZvpM=")</f>
        <v>#VALUE!</v>
      </c>
      <c r="ES4" t="e">
        <f>AND(přední!U33,"AAAAAGHZvpQ=")</f>
        <v>#VALUE!</v>
      </c>
      <c r="ET4" t="e">
        <f>AND(přední!V33,"AAAAAGHZvpU=")</f>
        <v>#VALUE!</v>
      </c>
      <c r="EU4" t="e">
        <f>AND(přední!W33,"AAAAAGHZvpY=")</f>
        <v>#VALUE!</v>
      </c>
      <c r="EV4" t="e">
        <f>AND(přední!X33,"AAAAAGHZvpc=")</f>
        <v>#VALUE!</v>
      </c>
      <c r="EW4" t="e">
        <f>AND(přední!Y33,"AAAAAGHZvpg=")</f>
        <v>#VALUE!</v>
      </c>
      <c r="EX4" t="e">
        <f>AND(přední!Z33,"AAAAAGHZvpk=")</f>
        <v>#VALUE!</v>
      </c>
      <c r="EY4" t="e">
        <f>AND(přední!AA33,"AAAAAGHZvpo=")</f>
        <v>#VALUE!</v>
      </c>
      <c r="EZ4" t="e">
        <f>AND(přední!AB33,"AAAAAGHZvps=")</f>
        <v>#VALUE!</v>
      </c>
      <c r="FA4">
        <f>IF(přední!A:A,"AAAAAGHZvpw=",0)</f>
        <v>0</v>
      </c>
      <c r="FB4">
        <f>IF(přední!B:B,"AAAAAGHZvp0=",0)</f>
        <v>0</v>
      </c>
      <c r="FC4">
        <f>IF(přední!C:C,"AAAAAGHZvp4=",0)</f>
        <v>0</v>
      </c>
      <c r="FD4">
        <f>IF(přední!D:D,"AAAAAGHZvp8=",0)</f>
        <v>0</v>
      </c>
      <c r="FE4">
        <f>IF(přední!E:E,"AAAAAGHZvqA=",0)</f>
        <v>0</v>
      </c>
      <c r="FF4">
        <f>IF(přední!F:F,"AAAAAGHZvqE=",0)</f>
        <v>0</v>
      </c>
      <c r="FG4">
        <f>IF(přední!G:G,"AAAAAGHZvqI=",0)</f>
        <v>0</v>
      </c>
      <c r="FH4">
        <f>IF(přední!H:H,"AAAAAGHZvqM=",0)</f>
        <v>0</v>
      </c>
      <c r="FI4">
        <f>IF(přední!I:I,"AAAAAGHZvqQ=",0)</f>
        <v>0</v>
      </c>
      <c r="FJ4" t="e">
        <f>IF(přední!J:J,"AAAAAGHZvqU=",0)</f>
        <v>#VALUE!</v>
      </c>
      <c r="FK4">
        <f>IF(přední!K:K,"AAAAAGHZvqY=",0)</f>
        <v>0</v>
      </c>
      <c r="FL4">
        <f>IF(přední!L:L,"AAAAAGHZvqc=",0)</f>
        <v>0</v>
      </c>
      <c r="FM4">
        <f>IF(přední!M:M,"AAAAAGHZvqg=",0)</f>
        <v>0</v>
      </c>
      <c r="FN4">
        <f>IF(přední!N:N,"AAAAAGHZvqk=",0)</f>
        <v>0</v>
      </c>
      <c r="FO4">
        <f>IF(přední!O:O,"AAAAAGHZvqo=",0)</f>
        <v>0</v>
      </c>
      <c r="FP4">
        <f>IF(přední!P:P,"AAAAAGHZvqs=",0)</f>
        <v>0</v>
      </c>
      <c r="FQ4">
        <f>IF(přední!Q:Q,"AAAAAGHZvqw=",0)</f>
        <v>0</v>
      </c>
      <c r="FR4">
        <f>IF(přední!R:R,"AAAAAGHZvq0=",0)</f>
        <v>0</v>
      </c>
      <c r="FS4">
        <f>IF(přední!S:S,"AAAAAGHZvq4=",0)</f>
        <v>0</v>
      </c>
      <c r="FT4">
        <f>IF(přední!T:T,"AAAAAGHZvq8=",0)</f>
        <v>0</v>
      </c>
      <c r="FU4">
        <f>IF(přední!U:U,"AAAAAGHZvrA=",0)</f>
        <v>0</v>
      </c>
      <c r="FV4">
        <f>IF(přední!V:V,"AAAAAGHZvrE=",0)</f>
        <v>0</v>
      </c>
      <c r="FW4">
        <f>IF(přední!W:W,"AAAAAGHZvrI=",0)</f>
        <v>0</v>
      </c>
      <c r="FX4">
        <f>IF(přední!X:X,"AAAAAGHZvrM=",0)</f>
        <v>0</v>
      </c>
      <c r="FY4">
        <f>IF(přední!Y:Y,"AAAAAGHZvrQ=",0)</f>
        <v>0</v>
      </c>
      <c r="FZ4">
        <f>IF(přední!Z:Z,"AAAAAGHZvrU=",0)</f>
        <v>0</v>
      </c>
      <c r="GA4">
        <f>IF(přední!AA:AA,"AAAAAGHZvrY=",0)</f>
        <v>0</v>
      </c>
      <c r="GB4">
        <f>IF(přední!AB:AB,"AAAAAGHZvrc=",0)</f>
        <v>0</v>
      </c>
      <c r="GC4">
        <f>IF(zadek!1:1,"AAAAAGHZvrg=",0)</f>
        <v>0</v>
      </c>
      <c r="GD4" t="e">
        <f>AND(zadek!B1,"AAAAAGHZvrk=")</f>
        <v>#VALUE!</v>
      </c>
      <c r="GE4" t="e">
        <f>AND(zadek!C1,"AAAAAGHZvro=")</f>
        <v>#VALUE!</v>
      </c>
      <c r="GF4" t="e">
        <f>AND(zadek!D1,"AAAAAGHZvrs=")</f>
        <v>#VALUE!</v>
      </c>
      <c r="GG4" t="e">
        <f>AND(zadek!E1,"AAAAAGHZvrw=")</f>
        <v>#VALUE!</v>
      </c>
      <c r="GH4" t="e">
        <f>AND(zadek!F1,"AAAAAGHZvr0=")</f>
        <v>#VALUE!</v>
      </c>
      <c r="GI4" t="e">
        <f>AND(zadek!G1,"AAAAAGHZvr4=")</f>
        <v>#VALUE!</v>
      </c>
      <c r="GJ4" t="e">
        <f>AND(zadek!H1,"AAAAAGHZvr8=")</f>
        <v>#VALUE!</v>
      </c>
      <c r="GK4" t="e">
        <f>AND(zadek!I1,"AAAAAGHZvsA=")</f>
        <v>#VALUE!</v>
      </c>
      <c r="GL4" t="e">
        <f>AND(zadek!J1,"AAAAAGHZvsE=")</f>
        <v>#VALUE!</v>
      </c>
      <c r="GM4" t="e">
        <f>AND(zadek!K1,"AAAAAGHZvsI=")</f>
        <v>#VALUE!</v>
      </c>
      <c r="GN4">
        <f>IF(zadek!2:2,"AAAAAGHZvsM=",0)</f>
        <v>0</v>
      </c>
      <c r="GO4" t="e">
        <f>AND(zadek!B2,"AAAAAGHZvsQ=")</f>
        <v>#VALUE!</v>
      </c>
      <c r="GP4" t="e">
        <f>AND(zadek!C2,"AAAAAGHZvsU=")</f>
        <v>#VALUE!</v>
      </c>
      <c r="GQ4" t="e">
        <f>AND(zadek!D2,"AAAAAGHZvsY=")</f>
        <v>#VALUE!</v>
      </c>
      <c r="GR4" t="e">
        <f>AND(zadek!E2,"AAAAAGHZvsc=")</f>
        <v>#VALUE!</v>
      </c>
      <c r="GS4" t="e">
        <f>AND(zadek!F2,"AAAAAGHZvsg=")</f>
        <v>#VALUE!</v>
      </c>
      <c r="GT4" t="e">
        <f>AND(zadek!G2,"AAAAAGHZvsk=")</f>
        <v>#VALUE!</v>
      </c>
      <c r="GU4" t="e">
        <f>AND(zadek!H2,"AAAAAGHZvso=")</f>
        <v>#VALUE!</v>
      </c>
      <c r="GV4" t="e">
        <f>AND(zadek!I2,"AAAAAGHZvss=")</f>
        <v>#VALUE!</v>
      </c>
      <c r="GW4" t="e">
        <f>AND(zadek!J2,"AAAAAGHZvsw=")</f>
        <v>#VALUE!</v>
      </c>
      <c r="GX4" t="e">
        <f>AND(zadek!K2,"AAAAAGHZvs0=")</f>
        <v>#VALUE!</v>
      </c>
      <c r="GY4">
        <f>IF(zadek!3:3,"AAAAAGHZvs4=",0)</f>
        <v>0</v>
      </c>
      <c r="GZ4" t="e">
        <f>AND(zadek!B3,"AAAAAGHZvs8=")</f>
        <v>#VALUE!</v>
      </c>
      <c r="HA4" t="e">
        <f>AND(zadek!C3,"AAAAAGHZvtA=")</f>
        <v>#VALUE!</v>
      </c>
      <c r="HB4" t="e">
        <f>AND(zadek!D3,"AAAAAGHZvtE=")</f>
        <v>#VALUE!</v>
      </c>
      <c r="HC4" t="e">
        <f>AND(zadek!E3,"AAAAAGHZvtI=")</f>
        <v>#VALUE!</v>
      </c>
      <c r="HD4" t="e">
        <f>AND(zadek!F3,"AAAAAGHZvtM=")</f>
        <v>#VALUE!</v>
      </c>
      <c r="HE4" t="e">
        <f>AND(zadek!G3,"AAAAAGHZvtQ=")</f>
        <v>#VALUE!</v>
      </c>
      <c r="HF4" t="e">
        <f>AND(zadek!H3,"AAAAAGHZvtU=")</f>
        <v>#VALUE!</v>
      </c>
      <c r="HG4" t="e">
        <f>AND(zadek!I3,"AAAAAGHZvtY=")</f>
        <v>#VALUE!</v>
      </c>
      <c r="HH4" t="e">
        <f>AND(zadek!J3,"AAAAAGHZvtc=")</f>
        <v>#VALUE!</v>
      </c>
      <c r="HI4" t="e">
        <f>AND(zadek!K3,"AAAAAGHZvtg=")</f>
        <v>#VALUE!</v>
      </c>
      <c r="HJ4">
        <f>IF(zadek!4:4,"AAAAAGHZvtk=",0)</f>
        <v>0</v>
      </c>
      <c r="HK4" t="e">
        <f>AND(zadek!B4,"AAAAAGHZvto=")</f>
        <v>#VALUE!</v>
      </c>
      <c r="HL4" t="e">
        <f>AND(zadek!C4,"AAAAAGHZvts=")</f>
        <v>#VALUE!</v>
      </c>
      <c r="HM4" t="e">
        <f>AND(zadek!D4,"AAAAAGHZvtw=")</f>
        <v>#VALUE!</v>
      </c>
      <c r="HN4" t="e">
        <f>AND(zadek!E4,"AAAAAGHZvt0=")</f>
        <v>#VALUE!</v>
      </c>
      <c r="HO4" t="e">
        <f>AND(zadek!F4,"AAAAAGHZvt4=")</f>
        <v>#VALUE!</v>
      </c>
      <c r="HP4" t="e">
        <f>AND(zadek!G4,"AAAAAGHZvt8=")</f>
        <v>#VALUE!</v>
      </c>
      <c r="HQ4" t="e">
        <f>AND(zadek!H4,"AAAAAGHZvuA=")</f>
        <v>#VALUE!</v>
      </c>
      <c r="HR4" t="e">
        <f>AND(zadek!I4,"AAAAAGHZvuE=")</f>
        <v>#VALUE!</v>
      </c>
      <c r="HS4" t="e">
        <f>AND(zadek!J4,"AAAAAGHZvuI=")</f>
        <v>#VALUE!</v>
      </c>
      <c r="HT4" t="e">
        <f>AND(zadek!K4,"AAAAAGHZvuM=")</f>
        <v>#VALUE!</v>
      </c>
      <c r="HU4">
        <f>IF(zadek!5:5,"AAAAAGHZvuQ=",0)</f>
        <v>0</v>
      </c>
      <c r="HV4" t="e">
        <f>AND(zadek!B5,"AAAAAGHZvuU=")</f>
        <v>#VALUE!</v>
      </c>
      <c r="HW4" t="e">
        <f>AND(zadek!C5,"AAAAAGHZvuY=")</f>
        <v>#VALUE!</v>
      </c>
      <c r="HX4" t="e">
        <f>AND(zadek!D5,"AAAAAGHZvuc=")</f>
        <v>#VALUE!</v>
      </c>
      <c r="HY4" t="e">
        <f>AND(zadek!E5,"AAAAAGHZvug=")</f>
        <v>#VALUE!</v>
      </c>
      <c r="HZ4" t="e">
        <f>AND(zadek!F5,"AAAAAGHZvuk=")</f>
        <v>#VALUE!</v>
      </c>
      <c r="IA4" t="e">
        <f>AND(zadek!G5,"AAAAAGHZvuo=")</f>
        <v>#VALUE!</v>
      </c>
      <c r="IB4" t="e">
        <f>AND(zadek!H5,"AAAAAGHZvus=")</f>
        <v>#VALUE!</v>
      </c>
      <c r="IC4" t="e">
        <f>AND(zadek!I5,"AAAAAGHZvuw=")</f>
        <v>#VALUE!</v>
      </c>
      <c r="ID4" t="e">
        <f>AND(zadek!J5,"AAAAAGHZvu0=")</f>
        <v>#VALUE!</v>
      </c>
      <c r="IE4" t="e">
        <f>AND(zadek!K5,"AAAAAGHZvu4=")</f>
        <v>#VALUE!</v>
      </c>
      <c r="IF4">
        <f>IF(zadek!6:6,"AAAAAGHZvu8=",0)</f>
        <v>0</v>
      </c>
      <c r="IG4" t="e">
        <f>AND(zadek!B6,"AAAAAGHZvvA=")</f>
        <v>#VALUE!</v>
      </c>
      <c r="IH4" t="e">
        <f>AND(zadek!C6,"AAAAAGHZvvE=")</f>
        <v>#VALUE!</v>
      </c>
      <c r="II4" t="e">
        <f>AND(zadek!D6,"AAAAAGHZvvI=")</f>
        <v>#VALUE!</v>
      </c>
      <c r="IJ4" t="e">
        <f>AND(zadek!E6,"AAAAAGHZvvM=")</f>
        <v>#VALUE!</v>
      </c>
      <c r="IK4" t="e">
        <f>AND(zadek!F6,"AAAAAGHZvvQ=")</f>
        <v>#VALUE!</v>
      </c>
      <c r="IL4" t="e">
        <f>AND(zadek!G6,"AAAAAGHZvvU=")</f>
        <v>#VALUE!</v>
      </c>
      <c r="IM4" t="e">
        <f>AND(zadek!H6,"AAAAAGHZvvY=")</f>
        <v>#VALUE!</v>
      </c>
      <c r="IN4" t="e">
        <f>AND(zadek!I6,"AAAAAGHZvvc=")</f>
        <v>#VALUE!</v>
      </c>
      <c r="IO4" t="e">
        <f>AND(zadek!J6,"AAAAAGHZvvg=")</f>
        <v>#VALUE!</v>
      </c>
      <c r="IP4" t="e">
        <f>AND(zadek!K6,"AAAAAGHZvvk=")</f>
        <v>#VALUE!</v>
      </c>
      <c r="IQ4">
        <f>IF(zadek!7:7,"AAAAAGHZvvo=",0)</f>
        <v>0</v>
      </c>
      <c r="IR4" t="e">
        <f>AND(zadek!B7,"AAAAAGHZvvs=")</f>
        <v>#VALUE!</v>
      </c>
      <c r="IS4" t="e">
        <f>AND(zadek!C7,"AAAAAGHZvvw=")</f>
        <v>#VALUE!</v>
      </c>
      <c r="IT4" t="e">
        <f>AND(zadek!D7,"AAAAAGHZvv0=")</f>
        <v>#VALUE!</v>
      </c>
      <c r="IU4" t="e">
        <f>AND(zadek!E7,"AAAAAGHZvv4=")</f>
        <v>#VALUE!</v>
      </c>
      <c r="IV4" t="e">
        <f>AND(zadek!F7,"AAAAAGHZvv8=")</f>
        <v>#VALUE!</v>
      </c>
    </row>
    <row r="5" spans="1:256" ht="12.75">
      <c r="A5" t="e">
        <f>AND(zadek!G7,"AAAAAHnyPgA=")</f>
        <v>#VALUE!</v>
      </c>
      <c r="B5" t="e">
        <f>AND(zadek!H7,"AAAAAHnyPgE=")</f>
        <v>#VALUE!</v>
      </c>
      <c r="C5" t="e">
        <f>AND(zadek!I7,"AAAAAHnyPgI=")</f>
        <v>#VALUE!</v>
      </c>
      <c r="D5" t="e">
        <f>AND(zadek!J7,"AAAAAHnyPgM=")</f>
        <v>#VALUE!</v>
      </c>
      <c r="E5" t="e">
        <f>AND(zadek!K7,"AAAAAHnyPgQ=")</f>
        <v>#VALUE!</v>
      </c>
      <c r="F5">
        <f>IF(zadek!8:8,"AAAAAHnyPgU=",0)</f>
        <v>0</v>
      </c>
      <c r="G5" t="e">
        <f>AND(zadek!B8,"AAAAAHnyPgY=")</f>
        <v>#VALUE!</v>
      </c>
      <c r="H5" t="e">
        <f>AND(zadek!C8,"AAAAAHnyPgc=")</f>
        <v>#VALUE!</v>
      </c>
      <c r="I5" t="e">
        <f>AND(zadek!D8,"AAAAAHnyPgg=")</f>
        <v>#VALUE!</v>
      </c>
      <c r="J5" t="e">
        <f>AND(zadek!E8,"AAAAAHnyPgk=")</f>
        <v>#VALUE!</v>
      </c>
      <c r="K5" t="e">
        <f>AND(zadek!F8,"AAAAAHnyPgo=")</f>
        <v>#VALUE!</v>
      </c>
      <c r="L5" t="e">
        <f>AND(zadek!G8,"AAAAAHnyPgs=")</f>
        <v>#VALUE!</v>
      </c>
      <c r="M5" t="e">
        <f>AND(zadek!H8,"AAAAAHnyPgw=")</f>
        <v>#VALUE!</v>
      </c>
      <c r="N5" t="e">
        <f>AND(zadek!I8,"AAAAAHnyPg0=")</f>
        <v>#VALUE!</v>
      </c>
      <c r="O5" t="e">
        <f>AND(zadek!J8,"AAAAAHnyPg4=")</f>
        <v>#VALUE!</v>
      </c>
      <c r="P5" t="e">
        <f>AND(zadek!K8,"AAAAAHnyPg8=")</f>
        <v>#VALUE!</v>
      </c>
      <c r="Q5">
        <f>IF(zadek!9:9,"AAAAAHnyPhA=",0)</f>
        <v>0</v>
      </c>
      <c r="R5" t="e">
        <f>AND(zadek!B9,"AAAAAHnyPhE=")</f>
        <v>#VALUE!</v>
      </c>
      <c r="S5" t="e">
        <f>AND(zadek!C9,"AAAAAHnyPhI=")</f>
        <v>#VALUE!</v>
      </c>
      <c r="T5" t="e">
        <f>AND(zadek!D9,"AAAAAHnyPhM=")</f>
        <v>#VALUE!</v>
      </c>
      <c r="U5" t="e">
        <f>AND(zadek!E9,"AAAAAHnyPhQ=")</f>
        <v>#VALUE!</v>
      </c>
      <c r="V5" t="e">
        <f>AND(zadek!F9,"AAAAAHnyPhU=")</f>
        <v>#VALUE!</v>
      </c>
      <c r="W5" t="e">
        <f>AND(zadek!G9,"AAAAAHnyPhY=")</f>
        <v>#VALUE!</v>
      </c>
      <c r="X5" t="e">
        <f>AND(zadek!H9,"AAAAAHnyPhc=")</f>
        <v>#VALUE!</v>
      </c>
      <c r="Y5" t="e">
        <f>AND(zadek!I9,"AAAAAHnyPhg=")</f>
        <v>#VALUE!</v>
      </c>
      <c r="Z5" t="e">
        <f>AND(zadek!J9,"AAAAAHnyPhk=")</f>
        <v>#VALUE!</v>
      </c>
      <c r="AA5" t="e">
        <f>AND(zadek!K9,"AAAAAHnyPho=")</f>
        <v>#VALUE!</v>
      </c>
      <c r="AB5">
        <f>IF(zadek!10:10,"AAAAAHnyPhs=",0)</f>
        <v>0</v>
      </c>
      <c r="AC5" t="e">
        <f>AND(zadek!B10,"AAAAAHnyPhw=")</f>
        <v>#VALUE!</v>
      </c>
      <c r="AD5" t="e">
        <f>AND(zadek!C10,"AAAAAHnyPh0=")</f>
        <v>#VALUE!</v>
      </c>
      <c r="AE5" t="e">
        <f>AND(zadek!D10,"AAAAAHnyPh4=")</f>
        <v>#VALUE!</v>
      </c>
      <c r="AF5" t="e">
        <f>AND(zadek!E10,"AAAAAHnyPh8=")</f>
        <v>#VALUE!</v>
      </c>
      <c r="AG5" t="e">
        <f>AND(zadek!F10,"AAAAAHnyPiA=")</f>
        <v>#VALUE!</v>
      </c>
      <c r="AH5" t="e">
        <f>AND(zadek!G10,"AAAAAHnyPiE=")</f>
        <v>#VALUE!</v>
      </c>
      <c r="AI5" t="e">
        <f>AND(zadek!H10,"AAAAAHnyPiI=")</f>
        <v>#VALUE!</v>
      </c>
      <c r="AJ5" t="e">
        <f>AND(zadek!I10,"AAAAAHnyPiM=")</f>
        <v>#VALUE!</v>
      </c>
      <c r="AK5" t="e">
        <f>AND(zadek!J10,"AAAAAHnyPiQ=")</f>
        <v>#VALUE!</v>
      </c>
      <c r="AL5" t="e">
        <f>AND(zadek!K10,"AAAAAHnyPiU=")</f>
        <v>#VALUE!</v>
      </c>
      <c r="AM5">
        <f>IF(zadek!11:11,"AAAAAHnyPiY=",0)</f>
        <v>0</v>
      </c>
      <c r="AN5" t="e">
        <f>AND(zadek!B11,"AAAAAHnyPic=")</f>
        <v>#VALUE!</v>
      </c>
      <c r="AO5" t="e">
        <f>AND(zadek!C11,"AAAAAHnyPig=")</f>
        <v>#VALUE!</v>
      </c>
      <c r="AP5" t="e">
        <f>AND(zadek!D11,"AAAAAHnyPik=")</f>
        <v>#VALUE!</v>
      </c>
      <c r="AQ5" t="e">
        <f>AND(zadek!E11,"AAAAAHnyPio=")</f>
        <v>#VALUE!</v>
      </c>
      <c r="AR5" t="e">
        <f>AND(zadek!F11,"AAAAAHnyPis=")</f>
        <v>#VALUE!</v>
      </c>
      <c r="AS5" t="e">
        <f>AND(zadek!G11,"AAAAAHnyPiw=")</f>
        <v>#VALUE!</v>
      </c>
      <c r="AT5" t="e">
        <f>AND(zadek!H11,"AAAAAHnyPi0=")</f>
        <v>#VALUE!</v>
      </c>
      <c r="AU5" t="e">
        <f>AND(zadek!I11,"AAAAAHnyPi4=")</f>
        <v>#VALUE!</v>
      </c>
      <c r="AV5" t="e">
        <f>AND(zadek!J11,"AAAAAHnyPi8=")</f>
        <v>#VALUE!</v>
      </c>
      <c r="AW5" t="e">
        <f>AND(zadek!K11,"AAAAAHnyPjA=")</f>
        <v>#VALUE!</v>
      </c>
      <c r="AX5">
        <f>IF(zadek!12:12,"AAAAAHnyPjE=",0)</f>
        <v>0</v>
      </c>
      <c r="AY5" t="e">
        <f>AND(zadek!B12,"AAAAAHnyPjI=")</f>
        <v>#VALUE!</v>
      </c>
      <c r="AZ5" t="e">
        <f>AND(zadek!C12,"AAAAAHnyPjM=")</f>
        <v>#VALUE!</v>
      </c>
      <c r="BA5" t="e">
        <f>AND(zadek!D12,"AAAAAHnyPjQ=")</f>
        <v>#VALUE!</v>
      </c>
      <c r="BB5" t="e">
        <f>AND(zadek!E12,"AAAAAHnyPjU=")</f>
        <v>#VALUE!</v>
      </c>
      <c r="BC5" t="e">
        <f>AND(zadek!F12,"AAAAAHnyPjY=")</f>
        <v>#VALUE!</v>
      </c>
      <c r="BD5" t="e">
        <f>AND(zadek!G12,"AAAAAHnyPjc=")</f>
        <v>#VALUE!</v>
      </c>
      <c r="BE5" t="e">
        <f>AND(zadek!H12,"AAAAAHnyPjg=")</f>
        <v>#VALUE!</v>
      </c>
      <c r="BF5" t="e">
        <f>AND(zadek!I12,"AAAAAHnyPjk=")</f>
        <v>#VALUE!</v>
      </c>
      <c r="BG5" t="e">
        <f>AND(zadek!J12,"AAAAAHnyPjo=")</f>
        <v>#VALUE!</v>
      </c>
      <c r="BH5" t="e">
        <f>AND(zadek!K12,"AAAAAHnyPjs=")</f>
        <v>#VALUE!</v>
      </c>
      <c r="BI5">
        <f>IF(zadek!13:13,"AAAAAHnyPjw=",0)</f>
        <v>0</v>
      </c>
      <c r="BJ5" t="e">
        <f>AND(zadek!B13,"AAAAAHnyPj0=")</f>
        <v>#VALUE!</v>
      </c>
      <c r="BK5" t="e">
        <f>AND(zadek!C13,"AAAAAHnyPj4=")</f>
        <v>#VALUE!</v>
      </c>
      <c r="BL5" t="e">
        <f>AND(zadek!D13,"AAAAAHnyPj8=")</f>
        <v>#VALUE!</v>
      </c>
      <c r="BM5" t="e">
        <f>AND(zadek!E13,"AAAAAHnyPkA=")</f>
        <v>#VALUE!</v>
      </c>
      <c r="BN5" t="e">
        <f>AND(zadek!F13,"AAAAAHnyPkE=")</f>
        <v>#VALUE!</v>
      </c>
      <c r="BO5" t="e">
        <f>AND(zadek!G13,"AAAAAHnyPkI=")</f>
        <v>#VALUE!</v>
      </c>
      <c r="BP5" t="e">
        <f>AND(zadek!H13,"AAAAAHnyPkM=")</f>
        <v>#VALUE!</v>
      </c>
      <c r="BQ5" t="e">
        <f>AND(zadek!I13,"AAAAAHnyPkQ=")</f>
        <v>#VALUE!</v>
      </c>
      <c r="BR5" t="e">
        <f>AND(zadek!J13,"AAAAAHnyPkU=")</f>
        <v>#VALUE!</v>
      </c>
      <c r="BS5" t="e">
        <f>AND(zadek!K13,"AAAAAHnyPkY=")</f>
        <v>#VALUE!</v>
      </c>
      <c r="BT5">
        <f>IF(zadek!14:14,"AAAAAHnyPkc=",0)</f>
        <v>0</v>
      </c>
      <c r="BU5" t="e">
        <f>AND(zadek!B14,"AAAAAHnyPkg=")</f>
        <v>#VALUE!</v>
      </c>
      <c r="BV5" t="e">
        <f>AND(zadek!C14,"AAAAAHnyPkk=")</f>
        <v>#VALUE!</v>
      </c>
      <c r="BW5" t="e">
        <f>AND(zadek!D14,"AAAAAHnyPko=")</f>
        <v>#VALUE!</v>
      </c>
      <c r="BX5" t="e">
        <f>AND(zadek!E14,"AAAAAHnyPks=")</f>
        <v>#VALUE!</v>
      </c>
      <c r="BY5" t="e">
        <f>AND(zadek!F14,"AAAAAHnyPkw=")</f>
        <v>#VALUE!</v>
      </c>
      <c r="BZ5" t="e">
        <f>AND(zadek!G14,"AAAAAHnyPk0=")</f>
        <v>#VALUE!</v>
      </c>
      <c r="CA5" t="e">
        <f>AND(zadek!H14,"AAAAAHnyPk4=")</f>
        <v>#VALUE!</v>
      </c>
      <c r="CB5" t="e">
        <f>AND(zadek!I14,"AAAAAHnyPk8=")</f>
        <v>#VALUE!</v>
      </c>
      <c r="CC5" t="e">
        <f>AND(zadek!J14,"AAAAAHnyPlA=")</f>
        <v>#VALUE!</v>
      </c>
      <c r="CD5" t="e">
        <f>AND(zadek!K14,"AAAAAHnyPlE=")</f>
        <v>#VALUE!</v>
      </c>
      <c r="CE5">
        <f>IF(zadek!15:15,"AAAAAHnyPlI=",0)</f>
        <v>0</v>
      </c>
      <c r="CF5" t="e">
        <f>AND(zadek!B15,"AAAAAHnyPlM=")</f>
        <v>#VALUE!</v>
      </c>
      <c r="CG5" t="e">
        <f>AND(zadek!C15,"AAAAAHnyPlQ=")</f>
        <v>#VALUE!</v>
      </c>
      <c r="CH5" t="e">
        <f>AND(zadek!D15,"AAAAAHnyPlU=")</f>
        <v>#VALUE!</v>
      </c>
      <c r="CI5" t="e">
        <f>AND(zadek!E15,"AAAAAHnyPlY=")</f>
        <v>#VALUE!</v>
      </c>
      <c r="CJ5" t="e">
        <f>AND(zadek!F15,"AAAAAHnyPlc=")</f>
        <v>#VALUE!</v>
      </c>
      <c r="CK5" t="e">
        <f>AND(zadek!G15,"AAAAAHnyPlg=")</f>
        <v>#VALUE!</v>
      </c>
      <c r="CL5" t="e">
        <f>AND(zadek!H15,"AAAAAHnyPlk=")</f>
        <v>#VALUE!</v>
      </c>
      <c r="CM5" t="e">
        <f>AND(zadek!I15,"AAAAAHnyPlo=")</f>
        <v>#VALUE!</v>
      </c>
      <c r="CN5" t="e">
        <f>AND(zadek!J15,"AAAAAHnyPls=")</f>
        <v>#VALUE!</v>
      </c>
      <c r="CO5" t="e">
        <f>AND(zadek!K15,"AAAAAHnyPlw=")</f>
        <v>#VALUE!</v>
      </c>
      <c r="CP5">
        <f>IF(zadek!16:16,"AAAAAHnyPl0=",0)</f>
        <v>0</v>
      </c>
      <c r="CQ5" t="e">
        <f>AND(zadek!B16,"AAAAAHnyPl4=")</f>
        <v>#VALUE!</v>
      </c>
      <c r="CR5" t="e">
        <f>AND(zadek!C16,"AAAAAHnyPl8=")</f>
        <v>#VALUE!</v>
      </c>
      <c r="CS5" t="e">
        <f>AND(zadek!D16,"AAAAAHnyPmA=")</f>
        <v>#VALUE!</v>
      </c>
      <c r="CT5" t="e">
        <f>AND(zadek!E16,"AAAAAHnyPmE=")</f>
        <v>#VALUE!</v>
      </c>
      <c r="CU5" t="e">
        <f>AND(zadek!F16,"AAAAAHnyPmI=")</f>
        <v>#VALUE!</v>
      </c>
      <c r="CV5" t="e">
        <f>AND(zadek!G16,"AAAAAHnyPmM=")</f>
        <v>#VALUE!</v>
      </c>
      <c r="CW5" t="e">
        <f>AND(zadek!H16,"AAAAAHnyPmQ=")</f>
        <v>#VALUE!</v>
      </c>
      <c r="CX5" t="e">
        <f>AND(zadek!I16,"AAAAAHnyPmU=")</f>
        <v>#VALUE!</v>
      </c>
      <c r="CY5" t="e">
        <f>AND(zadek!J16,"AAAAAHnyPmY=")</f>
        <v>#VALUE!</v>
      </c>
      <c r="CZ5" t="e">
        <f>AND(zadek!K16,"AAAAAHnyPmc=")</f>
        <v>#VALUE!</v>
      </c>
      <c r="DA5">
        <f>IF(zadek!17:17,"AAAAAHnyPmg=",0)</f>
        <v>0</v>
      </c>
      <c r="DB5" t="e">
        <f>AND(zadek!B17,"AAAAAHnyPmk=")</f>
        <v>#VALUE!</v>
      </c>
      <c r="DC5" t="e">
        <f>AND(zadek!C17,"AAAAAHnyPmo=")</f>
        <v>#VALUE!</v>
      </c>
      <c r="DD5" t="e">
        <f>AND(zadek!D17,"AAAAAHnyPms=")</f>
        <v>#VALUE!</v>
      </c>
      <c r="DE5" t="e">
        <f>AND(zadek!E17,"AAAAAHnyPmw=")</f>
        <v>#VALUE!</v>
      </c>
      <c r="DF5" t="e">
        <f>AND(zadek!F17,"AAAAAHnyPm0=")</f>
        <v>#VALUE!</v>
      </c>
      <c r="DG5" t="e">
        <f>AND(zadek!G17,"AAAAAHnyPm4=")</f>
        <v>#VALUE!</v>
      </c>
      <c r="DH5" t="e">
        <f>AND(zadek!H17,"AAAAAHnyPm8=")</f>
        <v>#VALUE!</v>
      </c>
      <c r="DI5" t="e">
        <f>AND(zadek!I17,"AAAAAHnyPnA=")</f>
        <v>#VALUE!</v>
      </c>
      <c r="DJ5" t="e">
        <f>AND(zadek!J17,"AAAAAHnyPnE=")</f>
        <v>#VALUE!</v>
      </c>
      <c r="DK5" t="e">
        <f>AND(zadek!K17,"AAAAAHnyPnI=")</f>
        <v>#VALUE!</v>
      </c>
      <c r="DL5">
        <f>IF(zadek!18:18,"AAAAAHnyPnM=",0)</f>
        <v>0</v>
      </c>
      <c r="DM5" t="e">
        <f>AND(zadek!B18,"AAAAAHnyPnQ=")</f>
        <v>#VALUE!</v>
      </c>
      <c r="DN5" t="e">
        <f>AND(zadek!C18,"AAAAAHnyPnU=")</f>
        <v>#VALUE!</v>
      </c>
      <c r="DO5" t="e">
        <f>AND(zadek!D18,"AAAAAHnyPnY=")</f>
        <v>#VALUE!</v>
      </c>
      <c r="DP5" t="e">
        <f>AND(zadek!E18,"AAAAAHnyPnc=")</f>
        <v>#VALUE!</v>
      </c>
      <c r="DQ5" t="e">
        <f>AND(zadek!F18,"AAAAAHnyPng=")</f>
        <v>#VALUE!</v>
      </c>
      <c r="DR5" t="e">
        <f>AND(zadek!G18,"AAAAAHnyPnk=")</f>
        <v>#VALUE!</v>
      </c>
      <c r="DS5" t="e">
        <f>AND(zadek!H18,"AAAAAHnyPno=")</f>
        <v>#VALUE!</v>
      </c>
      <c r="DT5" t="e">
        <f>AND(zadek!I18,"AAAAAHnyPns=")</f>
        <v>#VALUE!</v>
      </c>
      <c r="DU5" t="e">
        <f>AND(zadek!J18,"AAAAAHnyPnw=")</f>
        <v>#VALUE!</v>
      </c>
      <c r="DV5" t="e">
        <f>AND(zadek!K18,"AAAAAHnyPn0=")</f>
        <v>#VALUE!</v>
      </c>
      <c r="DW5">
        <f>IF(zadek!19:19,"AAAAAHnyPn4=",0)</f>
        <v>0</v>
      </c>
      <c r="DX5" t="e">
        <f>AND(zadek!B19,"AAAAAHnyPn8=")</f>
        <v>#VALUE!</v>
      </c>
      <c r="DY5" t="e">
        <f>AND(zadek!C19,"AAAAAHnyPoA=")</f>
        <v>#VALUE!</v>
      </c>
      <c r="DZ5" t="e">
        <f>AND(zadek!D19,"AAAAAHnyPoE=")</f>
        <v>#VALUE!</v>
      </c>
      <c r="EA5" t="e">
        <f>AND(zadek!E19,"AAAAAHnyPoI=")</f>
        <v>#VALUE!</v>
      </c>
      <c r="EB5" t="e">
        <f>AND(zadek!F19,"AAAAAHnyPoM=")</f>
        <v>#VALUE!</v>
      </c>
      <c r="EC5" t="e">
        <f>AND(zadek!G19,"AAAAAHnyPoQ=")</f>
        <v>#VALUE!</v>
      </c>
      <c r="ED5" t="e">
        <f>AND(zadek!H19,"AAAAAHnyPoU=")</f>
        <v>#VALUE!</v>
      </c>
      <c r="EE5" t="e">
        <f>AND(zadek!I19,"AAAAAHnyPoY=")</f>
        <v>#VALUE!</v>
      </c>
      <c r="EF5" t="e">
        <f>AND(zadek!J19,"AAAAAHnyPoc=")</f>
        <v>#VALUE!</v>
      </c>
      <c r="EG5" t="e">
        <f>AND(zadek!K19,"AAAAAHnyPog=")</f>
        <v>#VALUE!</v>
      </c>
      <c r="EH5">
        <f>IF(zadek!20:20,"AAAAAHnyPok=",0)</f>
        <v>0</v>
      </c>
      <c r="EI5" t="e">
        <f>AND(zadek!B20,"AAAAAHnyPoo=")</f>
        <v>#VALUE!</v>
      </c>
      <c r="EJ5" t="e">
        <f>AND(zadek!C20,"AAAAAHnyPos=")</f>
        <v>#VALUE!</v>
      </c>
      <c r="EK5" t="e">
        <f>AND(zadek!D20,"AAAAAHnyPow=")</f>
        <v>#VALUE!</v>
      </c>
      <c r="EL5" t="e">
        <f>AND(zadek!E20,"AAAAAHnyPo0=")</f>
        <v>#VALUE!</v>
      </c>
      <c r="EM5" t="e">
        <f>AND(zadek!F20,"AAAAAHnyPo4=")</f>
        <v>#VALUE!</v>
      </c>
      <c r="EN5" t="e">
        <f>AND(zadek!G20,"AAAAAHnyPo8=")</f>
        <v>#VALUE!</v>
      </c>
      <c r="EO5" t="e">
        <f>AND(zadek!H20,"AAAAAHnyPpA=")</f>
        <v>#VALUE!</v>
      </c>
      <c r="EP5" t="e">
        <f>AND(zadek!I20,"AAAAAHnyPpE=")</f>
        <v>#VALUE!</v>
      </c>
      <c r="EQ5" t="e">
        <f>AND(zadek!J20,"AAAAAHnyPpI=")</f>
        <v>#VALUE!</v>
      </c>
      <c r="ER5" t="e">
        <f>AND(zadek!K20,"AAAAAHnyPpM=")</f>
        <v>#VALUE!</v>
      </c>
      <c r="ES5">
        <f>IF(zadek!21:21,"AAAAAHnyPpQ=",0)</f>
        <v>0</v>
      </c>
      <c r="ET5" t="e">
        <f>AND(zadek!B21,"AAAAAHnyPpU=")</f>
        <v>#VALUE!</v>
      </c>
      <c r="EU5" t="e">
        <f>AND(zadek!C21,"AAAAAHnyPpY=")</f>
        <v>#VALUE!</v>
      </c>
      <c r="EV5" t="e">
        <f>AND(zadek!D21,"AAAAAHnyPpc=")</f>
        <v>#VALUE!</v>
      </c>
      <c r="EW5" t="e">
        <f>AND(zadek!E21,"AAAAAHnyPpg=")</f>
        <v>#VALUE!</v>
      </c>
      <c r="EX5" t="e">
        <f>AND(zadek!F21,"AAAAAHnyPpk=")</f>
        <v>#VALUE!</v>
      </c>
      <c r="EY5" t="e">
        <f>AND(zadek!G21,"AAAAAHnyPpo=")</f>
        <v>#VALUE!</v>
      </c>
      <c r="EZ5" t="e">
        <f>AND(zadek!H21,"AAAAAHnyPps=")</f>
        <v>#VALUE!</v>
      </c>
      <c r="FA5" t="e">
        <f>AND(zadek!I21,"AAAAAHnyPpw=")</f>
        <v>#VALUE!</v>
      </c>
      <c r="FB5" t="e">
        <f>AND(zadek!J21,"AAAAAHnyPp0=")</f>
        <v>#VALUE!</v>
      </c>
      <c r="FC5" t="e">
        <f>AND(zadek!K21,"AAAAAHnyPp4=")</f>
        <v>#VALUE!</v>
      </c>
      <c r="FD5">
        <f>IF(zadek!22:22,"AAAAAHnyPp8=",0)</f>
        <v>0</v>
      </c>
      <c r="FE5" t="e">
        <f>AND(zadek!B22,"AAAAAHnyPqA=")</f>
        <v>#VALUE!</v>
      </c>
      <c r="FF5" t="e">
        <f>AND(zadek!C22,"AAAAAHnyPqE=")</f>
        <v>#VALUE!</v>
      </c>
      <c r="FG5" t="e">
        <f>AND(zadek!D22,"AAAAAHnyPqI=")</f>
        <v>#VALUE!</v>
      </c>
      <c r="FH5" t="e">
        <f>AND(zadek!E22,"AAAAAHnyPqM=")</f>
        <v>#VALUE!</v>
      </c>
      <c r="FI5" t="e">
        <f>AND(zadek!F22,"AAAAAHnyPqQ=")</f>
        <v>#VALUE!</v>
      </c>
      <c r="FJ5" t="e">
        <f>AND(zadek!G22,"AAAAAHnyPqU=")</f>
        <v>#VALUE!</v>
      </c>
      <c r="FK5" t="e">
        <f>AND(zadek!H22,"AAAAAHnyPqY=")</f>
        <v>#VALUE!</v>
      </c>
      <c r="FL5" t="e">
        <f>AND(zadek!I22,"AAAAAHnyPqc=")</f>
        <v>#VALUE!</v>
      </c>
      <c r="FM5" t="e">
        <f>AND(zadek!J22,"AAAAAHnyPqg=")</f>
        <v>#VALUE!</v>
      </c>
      <c r="FN5" t="e">
        <f>AND(zadek!K22,"AAAAAHnyPqk=")</f>
        <v>#VALUE!</v>
      </c>
      <c r="FO5">
        <f>IF(zadek!23:23,"AAAAAHnyPqo=",0)</f>
        <v>0</v>
      </c>
      <c r="FP5" t="e">
        <f>AND(zadek!B23,"AAAAAHnyPqs=")</f>
        <v>#VALUE!</v>
      </c>
      <c r="FQ5" t="e">
        <f>AND(zadek!C23,"AAAAAHnyPqw=")</f>
        <v>#VALUE!</v>
      </c>
      <c r="FR5" t="e">
        <f>AND(zadek!D23,"AAAAAHnyPq0=")</f>
        <v>#VALUE!</v>
      </c>
      <c r="FS5" t="e">
        <f>AND(zadek!E23,"AAAAAHnyPq4=")</f>
        <v>#VALUE!</v>
      </c>
      <c r="FT5" t="e">
        <f>AND(zadek!F23,"AAAAAHnyPq8=")</f>
        <v>#VALUE!</v>
      </c>
      <c r="FU5" t="e">
        <f>AND(zadek!G23,"AAAAAHnyPrA=")</f>
        <v>#VALUE!</v>
      </c>
      <c r="FV5" t="e">
        <f>AND(zadek!H23,"AAAAAHnyPrE=")</f>
        <v>#VALUE!</v>
      </c>
      <c r="FW5" t="e">
        <f>AND(zadek!I23,"AAAAAHnyPrI=")</f>
        <v>#VALUE!</v>
      </c>
      <c r="FX5" t="e">
        <f>AND(zadek!J23,"AAAAAHnyPrM=")</f>
        <v>#VALUE!</v>
      </c>
      <c r="FY5" t="e">
        <f>AND(zadek!K23,"AAAAAHnyPrQ=")</f>
        <v>#VALUE!</v>
      </c>
      <c r="FZ5">
        <f>IF(zadek!24:24,"AAAAAHnyPrU=",0)</f>
        <v>0</v>
      </c>
      <c r="GA5" t="e">
        <f>AND(zadek!B24,"AAAAAHnyPrY=")</f>
        <v>#VALUE!</v>
      </c>
      <c r="GB5" t="e">
        <f>AND(zadek!C24,"AAAAAHnyPrc=")</f>
        <v>#VALUE!</v>
      </c>
      <c r="GC5" t="e">
        <f>AND(zadek!D24,"AAAAAHnyPrg=")</f>
        <v>#VALUE!</v>
      </c>
      <c r="GD5" t="e">
        <f>AND(zadek!E24,"AAAAAHnyPrk=")</f>
        <v>#VALUE!</v>
      </c>
      <c r="GE5" t="e">
        <f>AND(zadek!F24,"AAAAAHnyPro=")</f>
        <v>#VALUE!</v>
      </c>
      <c r="GF5" t="e">
        <f>AND(zadek!G24,"AAAAAHnyPrs=")</f>
        <v>#VALUE!</v>
      </c>
      <c r="GG5" t="e">
        <f>AND(zadek!H24,"AAAAAHnyPrw=")</f>
        <v>#VALUE!</v>
      </c>
      <c r="GH5" t="e">
        <f>AND(zadek!I24,"AAAAAHnyPr0=")</f>
        <v>#VALUE!</v>
      </c>
      <c r="GI5" t="e">
        <f>AND(zadek!J24,"AAAAAHnyPr4=")</f>
        <v>#VALUE!</v>
      </c>
      <c r="GJ5" t="e">
        <f>AND(zadek!K24,"AAAAAHnyPr8=")</f>
        <v>#VALUE!</v>
      </c>
      <c r="GK5">
        <f>IF(zadek!25:25,"AAAAAHnyPsA=",0)</f>
        <v>0</v>
      </c>
      <c r="GL5" t="e">
        <f>AND(zadek!B25,"AAAAAHnyPsE=")</f>
        <v>#VALUE!</v>
      </c>
      <c r="GM5" t="e">
        <f>AND(zadek!C25,"AAAAAHnyPsI=")</f>
        <v>#VALUE!</v>
      </c>
      <c r="GN5" t="e">
        <f>AND(zadek!D25,"AAAAAHnyPsM=")</f>
        <v>#VALUE!</v>
      </c>
      <c r="GO5" t="e">
        <f>AND(zadek!E25,"AAAAAHnyPsQ=")</f>
        <v>#VALUE!</v>
      </c>
      <c r="GP5" t="e">
        <f>AND(zadek!F25,"AAAAAHnyPsU=")</f>
        <v>#VALUE!</v>
      </c>
      <c r="GQ5" t="e">
        <f>AND(zadek!G25,"AAAAAHnyPsY=")</f>
        <v>#VALUE!</v>
      </c>
      <c r="GR5" t="e">
        <f>AND(zadek!H25,"AAAAAHnyPsc=")</f>
        <v>#VALUE!</v>
      </c>
      <c r="GS5" t="e">
        <f>AND(zadek!I25,"AAAAAHnyPsg=")</f>
        <v>#VALUE!</v>
      </c>
      <c r="GT5" t="e">
        <f>AND(zadek!J25,"AAAAAHnyPsk=")</f>
        <v>#VALUE!</v>
      </c>
      <c r="GU5" t="e">
        <f>AND(zadek!K25,"AAAAAHnyPso=")</f>
        <v>#VALUE!</v>
      </c>
      <c r="GV5">
        <f>IF(zadek!26:26,"AAAAAHnyPss=",0)</f>
        <v>0</v>
      </c>
      <c r="GW5" t="e">
        <f>AND(zadek!B26,"AAAAAHnyPsw=")</f>
        <v>#VALUE!</v>
      </c>
      <c r="GX5" t="e">
        <f>AND(zadek!C26,"AAAAAHnyPs0=")</f>
        <v>#VALUE!</v>
      </c>
      <c r="GY5" t="e">
        <f>AND(zadek!D26,"AAAAAHnyPs4=")</f>
        <v>#VALUE!</v>
      </c>
      <c r="GZ5" t="e">
        <f>AND(zadek!E26,"AAAAAHnyPs8=")</f>
        <v>#VALUE!</v>
      </c>
      <c r="HA5" t="e">
        <f>AND(zadek!F26,"AAAAAHnyPtA=")</f>
        <v>#VALUE!</v>
      </c>
      <c r="HB5" t="e">
        <f>AND(zadek!G26,"AAAAAHnyPtE=")</f>
        <v>#VALUE!</v>
      </c>
      <c r="HC5" t="e">
        <f>AND(zadek!H26,"AAAAAHnyPtI=")</f>
        <v>#VALUE!</v>
      </c>
      <c r="HD5" t="e">
        <f>AND(zadek!I26,"AAAAAHnyPtM=")</f>
        <v>#VALUE!</v>
      </c>
      <c r="HE5" t="e">
        <f>AND(zadek!J26,"AAAAAHnyPtQ=")</f>
        <v>#VALUE!</v>
      </c>
      <c r="HF5" t="e">
        <f>AND(zadek!K26,"AAAAAHnyPtU=")</f>
        <v>#VALUE!</v>
      </c>
      <c r="HG5">
        <f>IF(zadek!27:27,"AAAAAHnyPtY=",0)</f>
        <v>0</v>
      </c>
      <c r="HH5" t="e">
        <f>AND(zadek!B27,"AAAAAHnyPtc=")</f>
        <v>#VALUE!</v>
      </c>
      <c r="HI5" t="e">
        <f>AND(zadek!C27,"AAAAAHnyPtg=")</f>
        <v>#VALUE!</v>
      </c>
      <c r="HJ5" t="e">
        <f>AND(zadek!D27,"AAAAAHnyPtk=")</f>
        <v>#VALUE!</v>
      </c>
      <c r="HK5" t="e">
        <f>AND(zadek!E27,"AAAAAHnyPto=")</f>
        <v>#VALUE!</v>
      </c>
      <c r="HL5" t="e">
        <f>AND(zadek!F27,"AAAAAHnyPts=")</f>
        <v>#VALUE!</v>
      </c>
      <c r="HM5" t="e">
        <f>AND(zadek!G27,"AAAAAHnyPtw=")</f>
        <v>#VALUE!</v>
      </c>
      <c r="HN5" t="e">
        <f>AND(zadek!H27,"AAAAAHnyPt0=")</f>
        <v>#VALUE!</v>
      </c>
      <c r="HO5" t="e">
        <f>AND(zadek!I27,"AAAAAHnyPt4=")</f>
        <v>#VALUE!</v>
      </c>
      <c r="HP5" t="e">
        <f>AND(zadek!J27,"AAAAAHnyPt8=")</f>
        <v>#VALUE!</v>
      </c>
      <c r="HQ5" t="e">
        <f>AND(zadek!K27,"AAAAAHnyPuA=")</f>
        <v>#VALUE!</v>
      </c>
      <c r="HR5">
        <f>IF(zadek!28:28,"AAAAAHnyPuE=",0)</f>
        <v>0</v>
      </c>
      <c r="HS5" t="e">
        <f>AND(zadek!B28,"AAAAAHnyPuI=")</f>
        <v>#VALUE!</v>
      </c>
      <c r="HT5" t="e">
        <f>AND(zadek!C28,"AAAAAHnyPuM=")</f>
        <v>#VALUE!</v>
      </c>
      <c r="HU5" t="e">
        <f>AND(zadek!D28,"AAAAAHnyPuQ=")</f>
        <v>#VALUE!</v>
      </c>
      <c r="HV5" t="e">
        <f>AND(zadek!E28,"AAAAAHnyPuU=")</f>
        <v>#VALUE!</v>
      </c>
      <c r="HW5" t="e">
        <f>AND(zadek!F28,"AAAAAHnyPuY=")</f>
        <v>#VALUE!</v>
      </c>
      <c r="HX5" t="e">
        <f>AND(zadek!G28,"AAAAAHnyPuc=")</f>
        <v>#VALUE!</v>
      </c>
      <c r="HY5" t="e">
        <f>AND(zadek!H28,"AAAAAHnyPug=")</f>
        <v>#VALUE!</v>
      </c>
      <c r="HZ5" t="e">
        <f>AND(zadek!I28,"AAAAAHnyPuk=")</f>
        <v>#VALUE!</v>
      </c>
      <c r="IA5" t="e">
        <f>AND(zadek!J28,"AAAAAHnyPuo=")</f>
        <v>#VALUE!</v>
      </c>
      <c r="IB5" t="e">
        <f>AND(zadek!K28,"AAAAAHnyPus=")</f>
        <v>#VALUE!</v>
      </c>
      <c r="IC5">
        <f>IF(zadek!29:29,"AAAAAHnyPuw=",0)</f>
        <v>0</v>
      </c>
      <c r="ID5" t="e">
        <f>AND(zadek!B29,"AAAAAHnyPu0=")</f>
        <v>#VALUE!</v>
      </c>
      <c r="IE5" t="e">
        <f>AND(zadek!C29,"AAAAAHnyPu4=")</f>
        <v>#VALUE!</v>
      </c>
      <c r="IF5" t="e">
        <f>AND(zadek!D29,"AAAAAHnyPu8=")</f>
        <v>#VALUE!</v>
      </c>
      <c r="IG5" t="e">
        <f>AND(zadek!E29,"AAAAAHnyPvA=")</f>
        <v>#VALUE!</v>
      </c>
      <c r="IH5" t="e">
        <f>AND(zadek!F29,"AAAAAHnyPvE=")</f>
        <v>#VALUE!</v>
      </c>
      <c r="II5" t="e">
        <f>AND(zadek!G29,"AAAAAHnyPvI=")</f>
        <v>#VALUE!</v>
      </c>
      <c r="IJ5" t="e">
        <f>AND(zadek!H29,"AAAAAHnyPvM=")</f>
        <v>#VALUE!</v>
      </c>
      <c r="IK5" t="e">
        <f>AND(zadek!I29,"AAAAAHnyPvQ=")</f>
        <v>#VALUE!</v>
      </c>
      <c r="IL5" t="e">
        <f>AND(zadek!J29,"AAAAAHnyPvU=")</f>
        <v>#VALUE!</v>
      </c>
      <c r="IM5" t="e">
        <f>AND(zadek!K29,"AAAAAHnyPvY=")</f>
        <v>#VALUE!</v>
      </c>
      <c r="IN5">
        <f>IF(zadek!30:30,"AAAAAHnyPvc=",0)</f>
        <v>0</v>
      </c>
      <c r="IO5" t="e">
        <f>AND(zadek!B30,"AAAAAHnyPvg=")</f>
        <v>#VALUE!</v>
      </c>
      <c r="IP5" t="e">
        <f>AND(zadek!C30,"AAAAAHnyPvk=")</f>
        <v>#VALUE!</v>
      </c>
      <c r="IQ5" t="e">
        <f>AND(zadek!D30,"AAAAAHnyPvo=")</f>
        <v>#VALUE!</v>
      </c>
      <c r="IR5" t="e">
        <f>AND(zadek!E30,"AAAAAHnyPvs=")</f>
        <v>#VALUE!</v>
      </c>
      <c r="IS5" t="e">
        <f>AND(zadek!F30,"AAAAAHnyPvw=")</f>
        <v>#VALUE!</v>
      </c>
      <c r="IT5" t="e">
        <f>AND(zadek!G30,"AAAAAHnyPv0=")</f>
        <v>#VALUE!</v>
      </c>
      <c r="IU5" t="e">
        <f>AND(zadek!H30,"AAAAAHnyPv4=")</f>
        <v>#VALUE!</v>
      </c>
      <c r="IV5" t="e">
        <f>AND(zadek!I30,"AAAAAHnyPv8=")</f>
        <v>#VALUE!</v>
      </c>
    </row>
    <row r="6" spans="1:256" ht="12.75">
      <c r="A6" t="e">
        <f>AND(zadek!J30,"AAAAAE/v/QA=")</f>
        <v>#VALUE!</v>
      </c>
      <c r="B6" t="e">
        <f>AND(zadek!K30,"AAAAAE/v/QE=")</f>
        <v>#VALUE!</v>
      </c>
      <c r="C6">
        <f>IF(zadek!31:31,"AAAAAE/v/QI=",0)</f>
        <v>0</v>
      </c>
      <c r="D6" t="e">
        <f>AND(zadek!B31,"AAAAAE/v/QM=")</f>
        <v>#VALUE!</v>
      </c>
      <c r="E6" t="e">
        <f>AND(zadek!C31,"AAAAAE/v/QQ=")</f>
        <v>#VALUE!</v>
      </c>
      <c r="F6" t="e">
        <f>AND(zadek!D31,"AAAAAE/v/QU=")</f>
        <v>#VALUE!</v>
      </c>
      <c r="G6" t="e">
        <f>AND(zadek!E31,"AAAAAE/v/QY=")</f>
        <v>#VALUE!</v>
      </c>
      <c r="H6" t="e">
        <f>AND(zadek!F31,"AAAAAE/v/Qc=")</f>
        <v>#VALUE!</v>
      </c>
      <c r="I6" t="e">
        <f>AND(zadek!G31,"AAAAAE/v/Qg=")</f>
        <v>#VALUE!</v>
      </c>
      <c r="J6" t="e">
        <f>AND(zadek!H31,"AAAAAE/v/Qk=")</f>
        <v>#VALUE!</v>
      </c>
      <c r="K6" t="e">
        <f>AND(zadek!I31,"AAAAAE/v/Qo=")</f>
        <v>#VALUE!</v>
      </c>
      <c r="L6" t="e">
        <f>AND(zadek!J31,"AAAAAE/v/Qs=")</f>
        <v>#VALUE!</v>
      </c>
      <c r="M6" t="e">
        <f>AND(zadek!K31,"AAAAAE/v/Qw=")</f>
        <v>#VALUE!</v>
      </c>
      <c r="N6">
        <f>IF(zadek!32:32,"AAAAAE/v/Q0=",0)</f>
        <v>0</v>
      </c>
      <c r="O6" t="e">
        <f>AND(zadek!B32,"AAAAAE/v/Q4=")</f>
        <v>#VALUE!</v>
      </c>
      <c r="P6" t="e">
        <f>AND(zadek!C32,"AAAAAE/v/Q8=")</f>
        <v>#VALUE!</v>
      </c>
      <c r="Q6" t="e">
        <f>AND(zadek!D32,"AAAAAE/v/RA=")</f>
        <v>#VALUE!</v>
      </c>
      <c r="R6" t="e">
        <f>AND(zadek!E32,"AAAAAE/v/RE=")</f>
        <v>#VALUE!</v>
      </c>
      <c r="S6" t="e">
        <f>AND(zadek!F32,"AAAAAE/v/RI=")</f>
        <v>#VALUE!</v>
      </c>
      <c r="T6" t="e">
        <f>AND(zadek!G32,"AAAAAE/v/RM=")</f>
        <v>#VALUE!</v>
      </c>
      <c r="U6" t="e">
        <f>AND(zadek!H32,"AAAAAE/v/RQ=")</f>
        <v>#VALUE!</v>
      </c>
      <c r="V6" t="e">
        <f>AND(zadek!I32,"AAAAAE/v/RU=")</f>
        <v>#VALUE!</v>
      </c>
      <c r="W6" t="e">
        <f>AND(zadek!J32,"AAAAAE/v/RY=")</f>
        <v>#VALUE!</v>
      </c>
      <c r="X6" t="e">
        <f>AND(zadek!K32,"AAAAAE/v/Rc=")</f>
        <v>#VALUE!</v>
      </c>
      <c r="Y6">
        <f>IF(zadek!33:33,"AAAAAE/v/Rg=",0)</f>
        <v>0</v>
      </c>
      <c r="Z6" t="e">
        <f>AND(zadek!B33,"AAAAAE/v/Rk=")</f>
        <v>#VALUE!</v>
      </c>
      <c r="AA6" t="e">
        <f>AND(zadek!C33,"AAAAAE/v/Ro=")</f>
        <v>#VALUE!</v>
      </c>
      <c r="AB6" t="e">
        <f>AND(zadek!D33,"AAAAAE/v/Rs=")</f>
        <v>#VALUE!</v>
      </c>
      <c r="AC6" t="e">
        <f>AND(zadek!E33,"AAAAAE/v/Rw=")</f>
        <v>#VALUE!</v>
      </c>
      <c r="AD6" t="e">
        <f>AND(zadek!F33,"AAAAAE/v/R0=")</f>
        <v>#VALUE!</v>
      </c>
      <c r="AE6" t="e">
        <f>AND(zadek!G33,"AAAAAE/v/R4=")</f>
        <v>#VALUE!</v>
      </c>
      <c r="AF6" t="e">
        <f>AND(zadek!H33,"AAAAAE/v/R8=")</f>
        <v>#VALUE!</v>
      </c>
      <c r="AG6" t="e">
        <f>AND(zadek!I33,"AAAAAE/v/SA=")</f>
        <v>#VALUE!</v>
      </c>
      <c r="AH6" t="e">
        <f>AND(zadek!J33,"AAAAAE/v/SE=")</f>
        <v>#VALUE!</v>
      </c>
      <c r="AI6" t="e">
        <f>AND(zadek!K33,"AAAAAE/v/SI=")</f>
        <v>#VALUE!</v>
      </c>
      <c r="AJ6">
        <f>IF(zadek!34:34,"AAAAAE/v/SM=",0)</f>
        <v>0</v>
      </c>
      <c r="AK6" t="e">
        <f>AND(zadek!B34,"AAAAAE/v/SQ=")</f>
        <v>#VALUE!</v>
      </c>
      <c r="AL6" t="e">
        <f>AND(zadek!C34,"AAAAAE/v/SU=")</f>
        <v>#VALUE!</v>
      </c>
      <c r="AM6" t="e">
        <f>AND(zadek!D34,"AAAAAE/v/SY=")</f>
        <v>#VALUE!</v>
      </c>
      <c r="AN6" t="e">
        <f>AND(zadek!E34,"AAAAAE/v/Sc=")</f>
        <v>#VALUE!</v>
      </c>
      <c r="AO6" t="e">
        <f>AND(zadek!F34,"AAAAAE/v/Sg=")</f>
        <v>#VALUE!</v>
      </c>
      <c r="AP6" t="e">
        <f>AND(zadek!G34,"AAAAAE/v/Sk=")</f>
        <v>#VALUE!</v>
      </c>
      <c r="AQ6" t="e">
        <f>AND(zadek!H34,"AAAAAE/v/So=")</f>
        <v>#VALUE!</v>
      </c>
      <c r="AR6" t="e">
        <f>AND(zadek!I34,"AAAAAE/v/Ss=")</f>
        <v>#VALUE!</v>
      </c>
      <c r="AS6" t="e">
        <f>AND(zadek!J34,"AAAAAE/v/Sw=")</f>
        <v>#VALUE!</v>
      </c>
      <c r="AT6" t="e">
        <f>AND(zadek!K34,"AAAAAE/v/S0=")</f>
        <v>#VALUE!</v>
      </c>
      <c r="AU6">
        <f>IF(zadek!35:35,"AAAAAE/v/S4=",0)</f>
        <v>0</v>
      </c>
      <c r="AV6" t="e">
        <f>AND(zadek!B35,"AAAAAE/v/S8=")</f>
        <v>#VALUE!</v>
      </c>
      <c r="AW6" t="e">
        <f>AND(zadek!C35,"AAAAAE/v/TA=")</f>
        <v>#VALUE!</v>
      </c>
      <c r="AX6" t="e">
        <f>AND(zadek!D35,"AAAAAE/v/TE=")</f>
        <v>#VALUE!</v>
      </c>
      <c r="AY6" t="e">
        <f>AND(zadek!E35,"AAAAAE/v/TI=")</f>
        <v>#VALUE!</v>
      </c>
      <c r="AZ6" t="e">
        <f>AND(zadek!F35,"AAAAAE/v/TM=")</f>
        <v>#VALUE!</v>
      </c>
      <c r="BA6" t="e">
        <f>AND(zadek!G35,"AAAAAE/v/TQ=")</f>
        <v>#VALUE!</v>
      </c>
      <c r="BB6" t="e">
        <f>AND(zadek!H35,"AAAAAE/v/TU=")</f>
        <v>#VALUE!</v>
      </c>
      <c r="BC6" t="e">
        <f>AND(zadek!I35,"AAAAAE/v/TY=")</f>
        <v>#VALUE!</v>
      </c>
      <c r="BD6" t="e">
        <f>AND(zadek!J35,"AAAAAE/v/Tc=")</f>
        <v>#VALUE!</v>
      </c>
      <c r="BE6" t="e">
        <f>AND(zadek!K35,"AAAAAE/v/Tg=")</f>
        <v>#VALUE!</v>
      </c>
      <c r="BF6">
        <f>IF(zadek!36:36,"AAAAAE/v/Tk=",0)</f>
        <v>0</v>
      </c>
      <c r="BG6" t="e">
        <f>AND(zadek!B36,"AAAAAE/v/To=")</f>
        <v>#VALUE!</v>
      </c>
      <c r="BH6" t="e">
        <f>AND(zadek!C36,"AAAAAE/v/Ts=")</f>
        <v>#VALUE!</v>
      </c>
      <c r="BI6" t="e">
        <f>AND(zadek!D36,"AAAAAE/v/Tw=")</f>
        <v>#VALUE!</v>
      </c>
      <c r="BJ6" t="e">
        <f>AND(zadek!E36,"AAAAAE/v/T0=")</f>
        <v>#VALUE!</v>
      </c>
      <c r="BK6" t="e">
        <f>AND(zadek!F36,"AAAAAE/v/T4=")</f>
        <v>#VALUE!</v>
      </c>
      <c r="BL6" t="e">
        <f>AND(zadek!G36,"AAAAAE/v/T8=")</f>
        <v>#VALUE!</v>
      </c>
      <c r="BM6" t="e">
        <f>AND(zadek!H36,"AAAAAE/v/UA=")</f>
        <v>#VALUE!</v>
      </c>
      <c r="BN6" t="e">
        <f>AND(zadek!I36,"AAAAAE/v/UE=")</f>
        <v>#VALUE!</v>
      </c>
      <c r="BO6" t="e">
        <f>AND(zadek!J36,"AAAAAE/v/UI=")</f>
        <v>#VALUE!</v>
      </c>
      <c r="BP6" t="e">
        <f>AND(zadek!K36,"AAAAAE/v/UM=")</f>
        <v>#VALUE!</v>
      </c>
      <c r="BQ6">
        <f>IF(zadek!37:37,"AAAAAE/v/UQ=",0)</f>
        <v>0</v>
      </c>
      <c r="BR6" t="e">
        <f>AND(zadek!B37,"AAAAAE/v/UU=")</f>
        <v>#VALUE!</v>
      </c>
      <c r="BS6" t="e">
        <f>AND(zadek!C37,"AAAAAE/v/UY=")</f>
        <v>#VALUE!</v>
      </c>
      <c r="BT6" t="e">
        <f>AND(zadek!D37,"AAAAAE/v/Uc=")</f>
        <v>#VALUE!</v>
      </c>
      <c r="BU6" t="e">
        <f>AND(zadek!E37,"AAAAAE/v/Ug=")</f>
        <v>#VALUE!</v>
      </c>
      <c r="BV6" t="e">
        <f>AND(zadek!F37,"AAAAAE/v/Uk=")</f>
        <v>#VALUE!</v>
      </c>
      <c r="BW6" t="e">
        <f>AND(zadek!G37,"AAAAAE/v/Uo=")</f>
        <v>#VALUE!</v>
      </c>
      <c r="BX6" t="e">
        <f>AND(zadek!H37,"AAAAAE/v/Us=")</f>
        <v>#VALUE!</v>
      </c>
      <c r="BY6" t="e">
        <f>AND(zadek!I37,"AAAAAE/v/Uw=")</f>
        <v>#VALUE!</v>
      </c>
      <c r="BZ6" t="e">
        <f>AND(zadek!J37,"AAAAAE/v/U0=")</f>
        <v>#VALUE!</v>
      </c>
      <c r="CA6" t="e">
        <f>AND(zadek!K37,"AAAAAE/v/U4=")</f>
        <v>#VALUE!</v>
      </c>
      <c r="CB6">
        <f>IF(zadek!38:38,"AAAAAE/v/U8=",0)</f>
        <v>0</v>
      </c>
      <c r="CC6" t="e">
        <f>AND(zadek!B38,"AAAAAE/v/VA=")</f>
        <v>#VALUE!</v>
      </c>
      <c r="CD6" t="e">
        <f>AND(zadek!C38,"AAAAAE/v/VE=")</f>
        <v>#VALUE!</v>
      </c>
      <c r="CE6" t="e">
        <f>AND(zadek!D38,"AAAAAE/v/VI=")</f>
        <v>#VALUE!</v>
      </c>
      <c r="CF6" t="e">
        <f>AND(zadek!E38,"AAAAAE/v/VM=")</f>
        <v>#VALUE!</v>
      </c>
      <c r="CG6" t="e">
        <f>AND(zadek!F38,"AAAAAE/v/VQ=")</f>
        <v>#VALUE!</v>
      </c>
      <c r="CH6" t="e">
        <f>AND(zadek!G38,"AAAAAE/v/VU=")</f>
        <v>#VALUE!</v>
      </c>
      <c r="CI6" t="e">
        <f>AND(zadek!H38,"AAAAAE/v/VY=")</f>
        <v>#VALUE!</v>
      </c>
      <c r="CJ6" t="e">
        <f>AND(zadek!I38,"AAAAAE/v/Vc=")</f>
        <v>#VALUE!</v>
      </c>
      <c r="CK6" t="e">
        <f>AND(zadek!J38,"AAAAAE/v/Vg=")</f>
        <v>#VALUE!</v>
      </c>
      <c r="CL6" t="e">
        <f>AND(zadek!K38,"AAAAAE/v/Vk=")</f>
        <v>#VALUE!</v>
      </c>
      <c r="CM6">
        <f>IF(zadek!39:39,"AAAAAE/v/Vo=",0)</f>
        <v>0</v>
      </c>
      <c r="CN6" t="e">
        <f>AND(zadek!B39,"AAAAAE/v/Vs=")</f>
        <v>#VALUE!</v>
      </c>
      <c r="CO6" t="e">
        <f>AND(zadek!C39,"AAAAAE/v/Vw=")</f>
        <v>#VALUE!</v>
      </c>
      <c r="CP6" t="e">
        <f>AND(zadek!D39,"AAAAAE/v/V0=")</f>
        <v>#VALUE!</v>
      </c>
      <c r="CQ6" t="e">
        <f>AND(zadek!E39,"AAAAAE/v/V4=")</f>
        <v>#VALUE!</v>
      </c>
      <c r="CR6" t="e">
        <f>AND(zadek!F39,"AAAAAE/v/V8=")</f>
        <v>#VALUE!</v>
      </c>
      <c r="CS6" t="e">
        <f>AND(zadek!G39,"AAAAAE/v/WA=")</f>
        <v>#VALUE!</v>
      </c>
      <c r="CT6" t="e">
        <f>AND(zadek!H39,"AAAAAE/v/WE=")</f>
        <v>#VALUE!</v>
      </c>
      <c r="CU6" t="e">
        <f>AND(zadek!I39,"AAAAAE/v/WI=")</f>
        <v>#VALUE!</v>
      </c>
      <c r="CV6" t="e">
        <f>AND(zadek!J39,"AAAAAE/v/WM=")</f>
        <v>#VALUE!</v>
      </c>
      <c r="CW6" t="e">
        <f>AND(zadek!K39,"AAAAAE/v/WQ=")</f>
        <v>#VALUE!</v>
      </c>
      <c r="CX6">
        <f>IF(zadek!40:40,"AAAAAE/v/WU=",0)</f>
        <v>0</v>
      </c>
      <c r="CY6" t="e">
        <f>AND(zadek!B40,"AAAAAE/v/WY=")</f>
        <v>#VALUE!</v>
      </c>
      <c r="CZ6" t="e">
        <f>AND(zadek!C40,"AAAAAE/v/Wc=")</f>
        <v>#VALUE!</v>
      </c>
      <c r="DA6" t="e">
        <f>AND(zadek!D40,"AAAAAE/v/Wg=")</f>
        <v>#VALUE!</v>
      </c>
      <c r="DB6" t="e">
        <f>AND(zadek!E40,"AAAAAE/v/Wk=")</f>
        <v>#VALUE!</v>
      </c>
      <c r="DC6" t="e">
        <f>AND(zadek!F40,"AAAAAE/v/Wo=")</f>
        <v>#VALUE!</v>
      </c>
      <c r="DD6" t="e">
        <f>AND(zadek!G40,"AAAAAE/v/Ws=")</f>
        <v>#VALUE!</v>
      </c>
      <c r="DE6" t="e">
        <f>AND(zadek!H40,"AAAAAE/v/Ww=")</f>
        <v>#VALUE!</v>
      </c>
      <c r="DF6" t="e">
        <f>AND(zadek!I40,"AAAAAE/v/W0=")</f>
        <v>#VALUE!</v>
      </c>
      <c r="DG6" t="e">
        <f>AND(zadek!J40,"AAAAAE/v/W4=")</f>
        <v>#VALUE!</v>
      </c>
      <c r="DH6" t="e">
        <f>AND(zadek!K40,"AAAAAE/v/W8=")</f>
        <v>#VALUE!</v>
      </c>
      <c r="DI6">
        <f>IF(zadek!41:41,"AAAAAE/v/XA=",0)</f>
        <v>0</v>
      </c>
      <c r="DJ6" t="e">
        <f>AND(zadek!B41,"AAAAAE/v/XE=")</f>
        <v>#VALUE!</v>
      </c>
      <c r="DK6" t="e">
        <f>AND(zadek!C41,"AAAAAE/v/XI=")</f>
        <v>#VALUE!</v>
      </c>
      <c r="DL6" t="e">
        <f>AND(zadek!D41,"AAAAAE/v/XM=")</f>
        <v>#VALUE!</v>
      </c>
      <c r="DM6" t="e">
        <f>AND(zadek!E41,"AAAAAE/v/XQ=")</f>
        <v>#VALUE!</v>
      </c>
      <c r="DN6" t="e">
        <f>AND(zadek!F41,"AAAAAE/v/XU=")</f>
        <v>#VALUE!</v>
      </c>
      <c r="DO6" t="e">
        <f>AND(zadek!G41,"AAAAAE/v/XY=")</f>
        <v>#VALUE!</v>
      </c>
      <c r="DP6" t="e">
        <f>AND(zadek!H41,"AAAAAE/v/Xc=")</f>
        <v>#VALUE!</v>
      </c>
      <c r="DQ6" t="e">
        <f>AND(zadek!I41,"AAAAAE/v/Xg=")</f>
        <v>#VALUE!</v>
      </c>
      <c r="DR6" t="e">
        <f>AND(zadek!J41,"AAAAAE/v/Xk=")</f>
        <v>#VALUE!</v>
      </c>
      <c r="DS6" t="e">
        <f>AND(zadek!K41,"AAAAAE/v/Xo=")</f>
        <v>#VALUE!</v>
      </c>
      <c r="DT6">
        <f>IF(zadek!42:42,"AAAAAE/v/Xs=",0)</f>
        <v>0</v>
      </c>
      <c r="DU6" t="e">
        <f>AND(zadek!B42,"AAAAAE/v/Xw=")</f>
        <v>#VALUE!</v>
      </c>
      <c r="DV6" t="e">
        <f>AND(zadek!C42,"AAAAAE/v/X0=")</f>
        <v>#VALUE!</v>
      </c>
      <c r="DW6" t="e">
        <f>AND(zadek!D42,"AAAAAE/v/X4=")</f>
        <v>#VALUE!</v>
      </c>
      <c r="DX6" t="e">
        <f>AND(zadek!E42,"AAAAAE/v/X8=")</f>
        <v>#VALUE!</v>
      </c>
      <c r="DY6" t="e">
        <f>AND(zadek!F42,"AAAAAE/v/YA=")</f>
        <v>#VALUE!</v>
      </c>
      <c r="DZ6" t="e">
        <f>AND(zadek!G42,"AAAAAE/v/YE=")</f>
        <v>#VALUE!</v>
      </c>
      <c r="EA6" t="e">
        <f>AND(zadek!H42,"AAAAAE/v/YI=")</f>
        <v>#VALUE!</v>
      </c>
      <c r="EB6" t="e">
        <f>AND(zadek!I42,"AAAAAE/v/YM=")</f>
        <v>#VALUE!</v>
      </c>
      <c r="EC6" t="e">
        <f>AND(zadek!J42,"AAAAAE/v/YQ=")</f>
        <v>#VALUE!</v>
      </c>
      <c r="ED6" t="e">
        <f>AND(zadek!K42,"AAAAAE/v/YU=")</f>
        <v>#VALUE!</v>
      </c>
      <c r="EE6">
        <f>IF(zadek!43:43,"AAAAAE/v/YY=",0)</f>
        <v>0</v>
      </c>
      <c r="EF6" t="e">
        <f>AND(zadek!B43,"AAAAAE/v/Yc=")</f>
        <v>#VALUE!</v>
      </c>
      <c r="EG6" t="e">
        <f>AND(zadek!C43,"AAAAAE/v/Yg=")</f>
        <v>#VALUE!</v>
      </c>
      <c r="EH6" t="e">
        <f>AND(zadek!D43,"AAAAAE/v/Yk=")</f>
        <v>#VALUE!</v>
      </c>
      <c r="EI6" t="e">
        <f>AND(zadek!E43,"AAAAAE/v/Yo=")</f>
        <v>#VALUE!</v>
      </c>
      <c r="EJ6" t="e">
        <f>AND(zadek!F43,"AAAAAE/v/Ys=")</f>
        <v>#VALUE!</v>
      </c>
      <c r="EK6" t="e">
        <f>AND(zadek!G43,"AAAAAE/v/Yw=")</f>
        <v>#VALUE!</v>
      </c>
      <c r="EL6" t="e">
        <f>AND(zadek!H43,"AAAAAE/v/Y0=")</f>
        <v>#VALUE!</v>
      </c>
      <c r="EM6" t="e">
        <f>AND(zadek!I43,"AAAAAE/v/Y4=")</f>
        <v>#VALUE!</v>
      </c>
      <c r="EN6" t="e">
        <f>AND(zadek!J43,"AAAAAE/v/Y8=")</f>
        <v>#VALUE!</v>
      </c>
      <c r="EO6" t="e">
        <f>AND(zadek!K43,"AAAAAE/v/ZA=")</f>
        <v>#VALUE!</v>
      </c>
      <c r="EP6">
        <f>IF(zadek!44:44,"AAAAAE/v/ZE=",0)</f>
        <v>0</v>
      </c>
      <c r="EQ6" t="e">
        <f>AND(zadek!B44,"AAAAAE/v/ZI=")</f>
        <v>#VALUE!</v>
      </c>
      <c r="ER6" t="e">
        <f>AND(zadek!C44,"AAAAAE/v/ZM=")</f>
        <v>#VALUE!</v>
      </c>
      <c r="ES6" t="e">
        <f>AND(zadek!D44,"AAAAAE/v/ZQ=")</f>
        <v>#VALUE!</v>
      </c>
      <c r="ET6" t="e">
        <f>AND(zadek!E44,"AAAAAE/v/ZU=")</f>
        <v>#VALUE!</v>
      </c>
      <c r="EU6" t="e">
        <f>AND(zadek!F44,"AAAAAE/v/ZY=")</f>
        <v>#VALUE!</v>
      </c>
      <c r="EV6" t="e">
        <f>AND(zadek!G44,"AAAAAE/v/Zc=")</f>
        <v>#VALUE!</v>
      </c>
      <c r="EW6" t="e">
        <f>AND(zadek!H44,"AAAAAE/v/Zg=")</f>
        <v>#VALUE!</v>
      </c>
      <c r="EX6" t="e">
        <f>AND(zadek!I44,"AAAAAE/v/Zk=")</f>
        <v>#VALUE!</v>
      </c>
      <c r="EY6" t="e">
        <f>AND(zadek!J44,"AAAAAE/v/Zo=")</f>
        <v>#VALUE!</v>
      </c>
      <c r="EZ6" t="e">
        <f>AND(zadek!K44,"AAAAAE/v/Zs=")</f>
        <v>#VALUE!</v>
      </c>
      <c r="FA6">
        <f>IF(zadek!45:45,"AAAAAE/v/Zw=",0)</f>
        <v>0</v>
      </c>
      <c r="FB6" t="e">
        <f>AND(zadek!B45,"AAAAAE/v/Z0=")</f>
        <v>#VALUE!</v>
      </c>
      <c r="FC6" t="e">
        <f>AND(zadek!C45,"AAAAAE/v/Z4=")</f>
        <v>#VALUE!</v>
      </c>
      <c r="FD6" t="e">
        <f>AND(zadek!D45,"AAAAAE/v/Z8=")</f>
        <v>#VALUE!</v>
      </c>
      <c r="FE6" t="e">
        <f>AND(zadek!E45,"AAAAAE/v/aA=")</f>
        <v>#VALUE!</v>
      </c>
      <c r="FF6" t="e">
        <f>AND(zadek!F45,"AAAAAE/v/aE=")</f>
        <v>#VALUE!</v>
      </c>
      <c r="FG6" t="e">
        <f>AND(zadek!G45,"AAAAAE/v/aI=")</f>
        <v>#VALUE!</v>
      </c>
      <c r="FH6" t="e">
        <f>AND(zadek!H45,"AAAAAE/v/aM=")</f>
        <v>#VALUE!</v>
      </c>
      <c r="FI6" t="e">
        <f>AND(zadek!I45,"AAAAAE/v/aQ=")</f>
        <v>#VALUE!</v>
      </c>
      <c r="FJ6" t="e">
        <f>AND(zadek!J45,"AAAAAE/v/aU=")</f>
        <v>#VALUE!</v>
      </c>
      <c r="FK6" t="e">
        <f>AND(zadek!K45,"AAAAAE/v/aY=")</f>
        <v>#VALUE!</v>
      </c>
      <c r="FL6">
        <f>IF(zadek!46:46,"AAAAAE/v/ac=",0)</f>
        <v>0</v>
      </c>
      <c r="FM6" t="e">
        <f>AND(zadek!B46,"AAAAAE/v/ag=")</f>
        <v>#VALUE!</v>
      </c>
      <c r="FN6" t="e">
        <f>AND(zadek!C46,"AAAAAE/v/ak=")</f>
        <v>#VALUE!</v>
      </c>
      <c r="FO6" t="e">
        <f>AND(zadek!D46,"AAAAAE/v/ao=")</f>
        <v>#VALUE!</v>
      </c>
      <c r="FP6" t="e">
        <f>AND(zadek!E46,"AAAAAE/v/as=")</f>
        <v>#VALUE!</v>
      </c>
      <c r="FQ6" t="e">
        <f>AND(zadek!F46,"AAAAAE/v/aw=")</f>
        <v>#VALUE!</v>
      </c>
      <c r="FR6" t="e">
        <f>AND(zadek!G46,"AAAAAE/v/a0=")</f>
        <v>#VALUE!</v>
      </c>
      <c r="FS6" t="e">
        <f>AND(zadek!H46,"AAAAAE/v/a4=")</f>
        <v>#VALUE!</v>
      </c>
      <c r="FT6" t="e">
        <f>AND(zadek!I46,"AAAAAE/v/a8=")</f>
        <v>#VALUE!</v>
      </c>
      <c r="FU6" t="e">
        <f>AND(zadek!J46,"AAAAAE/v/bA=")</f>
        <v>#VALUE!</v>
      </c>
      <c r="FV6" t="e">
        <f>AND(zadek!K46,"AAAAAE/v/bE=")</f>
        <v>#VALUE!</v>
      </c>
      <c r="FW6">
        <f>IF(zadek!47:47,"AAAAAE/v/bI=",0)</f>
        <v>0</v>
      </c>
      <c r="FX6" t="e">
        <f>AND(zadek!B47,"AAAAAE/v/bM=")</f>
        <v>#VALUE!</v>
      </c>
      <c r="FY6" t="e">
        <f>AND(zadek!C47,"AAAAAE/v/bQ=")</f>
        <v>#VALUE!</v>
      </c>
      <c r="FZ6" t="e">
        <f>AND(zadek!D47,"AAAAAE/v/bU=")</f>
        <v>#VALUE!</v>
      </c>
      <c r="GA6" t="e">
        <f>AND(zadek!E47,"AAAAAE/v/bY=")</f>
        <v>#VALUE!</v>
      </c>
      <c r="GB6" t="e">
        <f>AND(zadek!F47,"AAAAAE/v/bc=")</f>
        <v>#VALUE!</v>
      </c>
      <c r="GC6" t="e">
        <f>AND(zadek!G47,"AAAAAE/v/bg=")</f>
        <v>#VALUE!</v>
      </c>
      <c r="GD6" t="e">
        <f>AND(zadek!H47,"AAAAAE/v/bk=")</f>
        <v>#VALUE!</v>
      </c>
      <c r="GE6" t="e">
        <f>AND(zadek!I47,"AAAAAE/v/bo=")</f>
        <v>#VALUE!</v>
      </c>
      <c r="GF6" t="e">
        <f>AND(zadek!J47,"AAAAAE/v/bs=")</f>
        <v>#VALUE!</v>
      </c>
      <c r="GG6" t="e">
        <f>AND(zadek!K47,"AAAAAE/v/bw=")</f>
        <v>#VALUE!</v>
      </c>
      <c r="GH6">
        <f>IF(zadek!48:48,"AAAAAE/v/b0=",0)</f>
        <v>0</v>
      </c>
      <c r="GI6" t="e">
        <f>AND(zadek!B48,"AAAAAE/v/b4=")</f>
        <v>#VALUE!</v>
      </c>
      <c r="GJ6" t="e">
        <f>AND(zadek!C48,"AAAAAE/v/b8=")</f>
        <v>#VALUE!</v>
      </c>
      <c r="GK6" t="e">
        <f>AND(zadek!D48,"AAAAAE/v/cA=")</f>
        <v>#VALUE!</v>
      </c>
      <c r="GL6" t="e">
        <f>AND(zadek!E48,"AAAAAE/v/cE=")</f>
        <v>#VALUE!</v>
      </c>
      <c r="GM6" t="e">
        <f>AND(zadek!F48,"AAAAAE/v/cI=")</f>
        <v>#VALUE!</v>
      </c>
      <c r="GN6" t="e">
        <f>AND(zadek!G48,"AAAAAE/v/cM=")</f>
        <v>#VALUE!</v>
      </c>
      <c r="GO6" t="e">
        <f>AND(zadek!H48,"AAAAAE/v/cQ=")</f>
        <v>#VALUE!</v>
      </c>
      <c r="GP6" t="e">
        <f>AND(zadek!I48,"AAAAAE/v/cU=")</f>
        <v>#VALUE!</v>
      </c>
      <c r="GQ6" t="e">
        <f>AND(zadek!J48,"AAAAAE/v/cY=")</f>
        <v>#VALUE!</v>
      </c>
      <c r="GR6" t="e">
        <f>AND(zadek!K48,"AAAAAE/v/cc=")</f>
        <v>#VALUE!</v>
      </c>
      <c r="GS6">
        <f>IF(zadek!49:49,"AAAAAE/v/cg=",0)</f>
        <v>0</v>
      </c>
      <c r="GT6" t="e">
        <f>AND(zadek!B49,"AAAAAE/v/ck=")</f>
        <v>#VALUE!</v>
      </c>
      <c r="GU6" t="e">
        <f>AND(zadek!C49,"AAAAAE/v/co=")</f>
        <v>#VALUE!</v>
      </c>
      <c r="GV6" t="e">
        <f>AND(zadek!D49,"AAAAAE/v/cs=")</f>
        <v>#VALUE!</v>
      </c>
      <c r="GW6" t="e">
        <f>AND(zadek!E49,"AAAAAE/v/cw=")</f>
        <v>#VALUE!</v>
      </c>
      <c r="GX6" t="e">
        <f>AND(zadek!F49,"AAAAAE/v/c0=")</f>
        <v>#VALUE!</v>
      </c>
      <c r="GY6" t="e">
        <f>AND(zadek!G49,"AAAAAE/v/c4=")</f>
        <v>#VALUE!</v>
      </c>
      <c r="GZ6" t="e">
        <f>AND(zadek!H49,"AAAAAE/v/c8=")</f>
        <v>#VALUE!</v>
      </c>
      <c r="HA6" t="e">
        <f>AND(zadek!I49,"AAAAAE/v/dA=")</f>
        <v>#VALUE!</v>
      </c>
      <c r="HB6" t="e">
        <f>AND(zadek!J49,"AAAAAE/v/dE=")</f>
        <v>#VALUE!</v>
      </c>
      <c r="HC6" t="e">
        <f>AND(zadek!K49,"AAAAAE/v/dI=")</f>
        <v>#VALUE!</v>
      </c>
      <c r="HD6">
        <f>IF(zadek!50:50,"AAAAAE/v/dM=",0)</f>
        <v>0</v>
      </c>
      <c r="HE6" t="e">
        <f>AND(zadek!B50,"AAAAAE/v/dQ=")</f>
        <v>#VALUE!</v>
      </c>
      <c r="HF6" t="e">
        <f>AND(zadek!C50,"AAAAAE/v/dU=")</f>
        <v>#VALUE!</v>
      </c>
      <c r="HG6" t="e">
        <f>AND(zadek!D50,"AAAAAE/v/dY=")</f>
        <v>#VALUE!</v>
      </c>
      <c r="HH6" t="e">
        <f>AND(zadek!E50,"AAAAAE/v/dc=")</f>
        <v>#VALUE!</v>
      </c>
      <c r="HI6" t="e">
        <f>AND(zadek!F50,"AAAAAE/v/dg=")</f>
        <v>#VALUE!</v>
      </c>
      <c r="HJ6" t="e">
        <f>AND(zadek!G50,"AAAAAE/v/dk=")</f>
        <v>#VALUE!</v>
      </c>
      <c r="HK6" t="e">
        <f>AND(zadek!H50,"AAAAAE/v/do=")</f>
        <v>#VALUE!</v>
      </c>
      <c r="HL6" t="e">
        <f>AND(zadek!I50,"AAAAAE/v/ds=")</f>
        <v>#VALUE!</v>
      </c>
      <c r="HM6" t="e">
        <f>AND(zadek!J50,"AAAAAE/v/dw=")</f>
        <v>#VALUE!</v>
      </c>
      <c r="HN6" t="e">
        <f>AND(zadek!K50,"AAAAAE/v/d0=")</f>
        <v>#VALUE!</v>
      </c>
      <c r="HO6">
        <f>IF(zadek!51:51,"AAAAAE/v/d4=",0)</f>
        <v>0</v>
      </c>
      <c r="HP6" t="e">
        <f>AND(zadek!B51,"AAAAAE/v/d8=")</f>
        <v>#VALUE!</v>
      </c>
      <c r="HQ6" t="e">
        <f>AND(zadek!C51,"AAAAAE/v/eA=")</f>
        <v>#VALUE!</v>
      </c>
      <c r="HR6" t="e">
        <f>AND(zadek!D51,"AAAAAE/v/eE=")</f>
        <v>#VALUE!</v>
      </c>
      <c r="HS6" t="e">
        <f>AND(zadek!E51,"AAAAAE/v/eI=")</f>
        <v>#VALUE!</v>
      </c>
      <c r="HT6" t="e">
        <f>AND(zadek!F51,"AAAAAE/v/eM=")</f>
        <v>#VALUE!</v>
      </c>
      <c r="HU6" t="e">
        <f>AND(zadek!G51,"AAAAAE/v/eQ=")</f>
        <v>#VALUE!</v>
      </c>
      <c r="HV6" t="e">
        <f>AND(zadek!H51,"AAAAAE/v/eU=")</f>
        <v>#VALUE!</v>
      </c>
      <c r="HW6" t="e">
        <f>AND(zadek!I51,"AAAAAE/v/eY=")</f>
        <v>#VALUE!</v>
      </c>
      <c r="HX6" t="e">
        <f>AND(zadek!J51,"AAAAAE/v/ec=")</f>
        <v>#VALUE!</v>
      </c>
      <c r="HY6" t="e">
        <f>AND(zadek!K51,"AAAAAE/v/eg=")</f>
        <v>#VALUE!</v>
      </c>
      <c r="HZ6">
        <f>IF(zadek!52:52,"AAAAAE/v/ek=",0)</f>
        <v>0</v>
      </c>
      <c r="IA6" t="e">
        <f>AND(zadek!B52,"AAAAAE/v/eo=")</f>
        <v>#VALUE!</v>
      </c>
      <c r="IB6" t="e">
        <f>AND(zadek!C52,"AAAAAE/v/es=")</f>
        <v>#VALUE!</v>
      </c>
      <c r="IC6" t="e">
        <f>AND(zadek!D52,"AAAAAE/v/ew=")</f>
        <v>#VALUE!</v>
      </c>
      <c r="ID6" t="e">
        <f>AND(zadek!E52,"AAAAAE/v/e0=")</f>
        <v>#VALUE!</v>
      </c>
      <c r="IE6" t="e">
        <f>AND(zadek!F52,"AAAAAE/v/e4=")</f>
        <v>#VALUE!</v>
      </c>
      <c r="IF6" t="e">
        <f>AND(zadek!G52,"AAAAAE/v/e8=")</f>
        <v>#VALUE!</v>
      </c>
      <c r="IG6" t="e">
        <f>AND(zadek!H52,"AAAAAE/v/fA=")</f>
        <v>#VALUE!</v>
      </c>
      <c r="IH6" t="e">
        <f>AND(zadek!I52,"AAAAAE/v/fE=")</f>
        <v>#VALUE!</v>
      </c>
      <c r="II6" t="e">
        <f>AND(zadek!J52,"AAAAAE/v/fI=")</f>
        <v>#VALUE!</v>
      </c>
      <c r="IJ6" t="e">
        <f>AND(zadek!K52,"AAAAAE/v/fM=")</f>
        <v>#VALUE!</v>
      </c>
      <c r="IK6">
        <f>IF(zadek!53:53,"AAAAAE/v/fQ=",0)</f>
        <v>0</v>
      </c>
      <c r="IL6" t="e">
        <f>AND(zadek!B53,"AAAAAE/v/fU=")</f>
        <v>#VALUE!</v>
      </c>
      <c r="IM6" t="e">
        <f>AND(zadek!C53,"AAAAAE/v/fY=")</f>
        <v>#VALUE!</v>
      </c>
      <c r="IN6" t="e">
        <f>AND(zadek!D53,"AAAAAE/v/fc=")</f>
        <v>#VALUE!</v>
      </c>
      <c r="IO6" t="e">
        <f>AND(zadek!E53,"AAAAAE/v/fg=")</f>
        <v>#VALUE!</v>
      </c>
      <c r="IP6" t="e">
        <f>AND(zadek!F53,"AAAAAE/v/fk=")</f>
        <v>#VALUE!</v>
      </c>
      <c r="IQ6" t="e">
        <f>AND(zadek!G53,"AAAAAE/v/fo=")</f>
        <v>#VALUE!</v>
      </c>
      <c r="IR6" t="e">
        <f>AND(zadek!H53,"AAAAAE/v/fs=")</f>
        <v>#VALUE!</v>
      </c>
      <c r="IS6" t="e">
        <f>AND(zadek!I53,"AAAAAE/v/fw=")</f>
        <v>#VALUE!</v>
      </c>
      <c r="IT6" t="e">
        <f>AND(zadek!J53,"AAAAAE/v/f0=")</f>
        <v>#VALUE!</v>
      </c>
      <c r="IU6" t="e">
        <f>AND(zadek!K53,"AAAAAE/v/f4=")</f>
        <v>#VALUE!</v>
      </c>
      <c r="IV6">
        <f>IF(zadek!54:54,"AAAAAE/v/f8=",0)</f>
        <v>0</v>
      </c>
    </row>
    <row r="7" spans="1:34" ht="12.75">
      <c r="A7" t="e">
        <f>AND(zadek!B54,"AAAAAGX+WAA=")</f>
        <v>#VALUE!</v>
      </c>
      <c r="B7" t="e">
        <f>AND(zadek!C54,"AAAAAGX+WAE=")</f>
        <v>#VALUE!</v>
      </c>
      <c r="C7" t="e">
        <f>AND(zadek!D54,"AAAAAGX+WAI=")</f>
        <v>#VALUE!</v>
      </c>
      <c r="D7" t="e">
        <f>AND(zadek!E54,"AAAAAGX+WAM=")</f>
        <v>#VALUE!</v>
      </c>
      <c r="E7" t="e">
        <f>AND(zadek!F54,"AAAAAGX+WAQ=")</f>
        <v>#VALUE!</v>
      </c>
      <c r="F7" t="e">
        <f>AND(zadek!G54,"AAAAAGX+WAU=")</f>
        <v>#VALUE!</v>
      </c>
      <c r="G7" t="e">
        <f>AND(zadek!H54,"AAAAAGX+WAY=")</f>
        <v>#VALUE!</v>
      </c>
      <c r="H7" t="e">
        <f>AND(zadek!I54,"AAAAAGX+WAc=")</f>
        <v>#VALUE!</v>
      </c>
      <c r="I7" t="e">
        <f>AND(zadek!J54,"AAAAAGX+WAg=")</f>
        <v>#VALUE!</v>
      </c>
      <c r="J7" t="e">
        <f>AND(zadek!K54,"AAAAAGX+WAk=")</f>
        <v>#VALUE!</v>
      </c>
      <c r="K7">
        <f>IF(zadek!55:55,"AAAAAGX+WAo=",0)</f>
        <v>0</v>
      </c>
      <c r="L7" t="e">
        <f>AND(zadek!B55,"AAAAAGX+WAs=")</f>
        <v>#VALUE!</v>
      </c>
      <c r="M7" t="e">
        <f>AND(zadek!C55,"AAAAAGX+WAw=")</f>
        <v>#VALUE!</v>
      </c>
      <c r="N7" t="e">
        <f>AND(zadek!D55,"AAAAAGX+WA0=")</f>
        <v>#VALUE!</v>
      </c>
      <c r="O7" t="e">
        <f>AND(zadek!E55,"AAAAAGX+WA4=")</f>
        <v>#VALUE!</v>
      </c>
      <c r="P7" t="e">
        <f>AND(zadek!F55,"AAAAAGX+WA8=")</f>
        <v>#VALUE!</v>
      </c>
      <c r="Q7" t="e">
        <f>AND(zadek!G55,"AAAAAGX+WBA=")</f>
        <v>#VALUE!</v>
      </c>
      <c r="R7" t="e">
        <f>AND(zadek!H55,"AAAAAGX+WBE=")</f>
        <v>#VALUE!</v>
      </c>
      <c r="S7" t="e">
        <f>AND(zadek!I55,"AAAAAGX+WBI=")</f>
        <v>#VALUE!</v>
      </c>
      <c r="T7" t="e">
        <f>AND(zadek!J55,"AAAAAGX+WBM=")</f>
        <v>#VALUE!</v>
      </c>
      <c r="U7" t="e">
        <f>AND(zadek!K55,"AAAAAGX+WBQ=")</f>
        <v>#VALUE!</v>
      </c>
      <c r="V7">
        <f>IF(zadek!56:56,"AAAAAGX+WBU=",0)</f>
        <v>0</v>
      </c>
      <c r="W7">
        <f>IF(zadek!A:A,"AAAAAGX+WBY=",0)</f>
        <v>0</v>
      </c>
      <c r="X7">
        <f>IF(zadek!B:B,"AAAAAGX+WBc=",0)</f>
        <v>0</v>
      </c>
      <c r="Y7">
        <f>IF(zadek!C:C,"AAAAAGX+WBg=",0)</f>
        <v>0</v>
      </c>
      <c r="Z7">
        <f>IF(zadek!D:D,"AAAAAGX+WBk=",0)</f>
        <v>0</v>
      </c>
      <c r="AA7">
        <f>IF(zadek!E:E,"AAAAAGX+WBo=",0)</f>
        <v>0</v>
      </c>
      <c r="AB7">
        <f>IF(zadek!F:F,"AAAAAGX+WBs=",0)</f>
        <v>0</v>
      </c>
      <c r="AC7">
        <f>IF(zadek!G:G,"AAAAAGX+WBw=",0)</f>
        <v>0</v>
      </c>
      <c r="AD7">
        <f>IF(zadek!H:H,"AAAAAGX+WB0=",0)</f>
        <v>0</v>
      </c>
      <c r="AE7">
        <f>IF(zadek!I:I,"AAAAAGX+WB4=",0)</f>
        <v>0</v>
      </c>
      <c r="AF7">
        <f>IF(zadek!J:J,"AAAAAGX+WB8=",0)</f>
        <v>0</v>
      </c>
      <c r="AG7">
        <f>IF(zadek!K:K,"AAAAAGX+WCA=",0)</f>
        <v>0</v>
      </c>
      <c r="AH7" t="e">
        <f>IF("N",_xlfn.BAHTTEXT,"AAAAAGX+WCE=")</f>
        <v>#VALUE!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VYVADIL</dc:creator>
  <cp:keywords/>
  <dc:description/>
  <cp:lastModifiedBy>Martin</cp:lastModifiedBy>
  <cp:lastPrinted>2009-09-28T08:16:41Z</cp:lastPrinted>
  <dcterms:created xsi:type="dcterms:W3CDTF">2008-06-28T04:38:23Z</dcterms:created>
  <dcterms:modified xsi:type="dcterms:W3CDTF">2012-06-22T08:20:40Z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17tIiNtn0SR8DCjV0p98epMqXssUeCgpYOE3LZ6MUxa0</vt:lpwstr>
  </property>
  <property fmtid="{D5CDD505-2E9C-101B-9397-08002B2CF9AE}" pid="4" name="Google.Documents.RevisionId">
    <vt:lpwstr>11318909817092634486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